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8b00fc48a0f2f94/งป/2563/3. จัดสรร/"/>
    </mc:Choice>
  </mc:AlternateContent>
  <xr:revisionPtr revIDLastSave="0" documentId="8_{8217280B-0F8F-4116-B36B-23465986C97B}" xr6:coauthVersionLast="44" xr6:coauthVersionMax="44" xr10:uidLastSave="{00000000-0000-0000-0000-000000000000}"/>
  <bookViews>
    <workbookView xWindow="-120" yWindow="-120" windowWidth="29040" windowHeight="15840" tabRatio="867" xr2:uid="{00000000-000D-0000-FFFF-FFFF00000000}"/>
  </bookViews>
  <sheets>
    <sheet name="จัดสรร 63  (ไตรมาส 1-2 ฐาน 62)" sheetId="49" r:id="rId1"/>
  </sheets>
  <definedNames>
    <definedName name="_xlnm.Print_Area" localSheetId="0">'จัดสรร 63  (ไตรมาส 1-2 ฐาน 62)'!$A$1:$U$442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" i="49" l="1"/>
  <c r="I440" i="49"/>
  <c r="H440" i="49"/>
  <c r="U440" i="49" l="1"/>
  <c r="H18" i="49"/>
  <c r="J404" i="49"/>
  <c r="H372" i="49"/>
  <c r="H16" i="49" s="1"/>
  <c r="I341" i="49"/>
  <c r="I342" i="49"/>
  <c r="I343" i="49"/>
  <c r="I344" i="49"/>
  <c r="I345" i="49"/>
  <c r="I346" i="49"/>
  <c r="I340" i="49"/>
  <c r="W346" i="49"/>
  <c r="J346" i="49" s="1"/>
  <c r="W345" i="49"/>
  <c r="J345" i="49" s="1"/>
  <c r="W344" i="49"/>
  <c r="J344" i="49" s="1"/>
  <c r="W343" i="49"/>
  <c r="J343" i="49" s="1"/>
  <c r="W342" i="49"/>
  <c r="J342" i="49" s="1"/>
  <c r="W341" i="49"/>
  <c r="J341" i="49" s="1"/>
  <c r="U341" i="49" s="1"/>
  <c r="W340" i="49"/>
  <c r="J340" i="49" s="1"/>
  <c r="I307" i="49"/>
  <c r="I308" i="49"/>
  <c r="I309" i="49"/>
  <c r="I310" i="49"/>
  <c r="I311" i="49"/>
  <c r="I312" i="49"/>
  <c r="I306" i="49"/>
  <c r="W312" i="49"/>
  <c r="J312" i="49" s="1"/>
  <c r="W311" i="49"/>
  <c r="J311" i="49" s="1"/>
  <c r="W310" i="49"/>
  <c r="J310" i="49" s="1"/>
  <c r="W309" i="49"/>
  <c r="J309" i="49" s="1"/>
  <c r="W308" i="49"/>
  <c r="J308" i="49" s="1"/>
  <c r="W307" i="49"/>
  <c r="J307" i="49" s="1"/>
  <c r="W306" i="49"/>
  <c r="J306" i="49" s="1"/>
  <c r="I273" i="49"/>
  <c r="I274" i="49"/>
  <c r="I275" i="49"/>
  <c r="I276" i="49"/>
  <c r="I277" i="49"/>
  <c r="I278" i="49"/>
  <c r="I279" i="49"/>
  <c r="I272" i="49"/>
  <c r="W279" i="49"/>
  <c r="J279" i="49" s="1"/>
  <c r="W278" i="49"/>
  <c r="J278" i="49" s="1"/>
  <c r="W277" i="49"/>
  <c r="J277" i="49" s="1"/>
  <c r="W276" i="49"/>
  <c r="J276" i="49" s="1"/>
  <c r="W275" i="49"/>
  <c r="J275" i="49" s="1"/>
  <c r="W274" i="49"/>
  <c r="J274" i="49" s="1"/>
  <c r="W273" i="49"/>
  <c r="J273" i="49" s="1"/>
  <c r="W272" i="49"/>
  <c r="J272" i="49" s="1"/>
  <c r="I239" i="49"/>
  <c r="I240" i="49"/>
  <c r="I241" i="49"/>
  <c r="I242" i="49"/>
  <c r="I243" i="49"/>
  <c r="I244" i="49"/>
  <c r="I245" i="49"/>
  <c r="I246" i="49"/>
  <c r="I238" i="49"/>
  <c r="W246" i="49"/>
  <c r="J246" i="49" s="1"/>
  <c r="W245" i="49"/>
  <c r="J245" i="49" s="1"/>
  <c r="W244" i="49"/>
  <c r="J244" i="49" s="1"/>
  <c r="W243" i="49"/>
  <c r="J243" i="49" s="1"/>
  <c r="W242" i="49"/>
  <c r="J242" i="49" s="1"/>
  <c r="W241" i="49"/>
  <c r="J241" i="49" s="1"/>
  <c r="U241" i="49" s="1"/>
  <c r="W240" i="49"/>
  <c r="J240" i="49" s="1"/>
  <c r="W239" i="49"/>
  <c r="J239" i="49" s="1"/>
  <c r="W238" i="49"/>
  <c r="J238" i="49" s="1"/>
  <c r="I206" i="49"/>
  <c r="I207" i="49"/>
  <c r="I208" i="49"/>
  <c r="I209" i="49"/>
  <c r="I210" i="49"/>
  <c r="I211" i="49"/>
  <c r="I212" i="49"/>
  <c r="I205" i="49"/>
  <c r="W212" i="49"/>
  <c r="J212" i="49" s="1"/>
  <c r="W211" i="49"/>
  <c r="J211" i="49" s="1"/>
  <c r="W210" i="49"/>
  <c r="J210" i="49" s="1"/>
  <c r="W209" i="49"/>
  <c r="J209" i="49" s="1"/>
  <c r="W208" i="49"/>
  <c r="J208" i="49" s="1"/>
  <c r="W207" i="49"/>
  <c r="J207" i="49" s="1"/>
  <c r="U207" i="49" s="1"/>
  <c r="W206" i="49"/>
  <c r="J206" i="49" s="1"/>
  <c r="W205" i="49"/>
  <c r="J205" i="49" s="1"/>
  <c r="I173" i="49"/>
  <c r="I174" i="49"/>
  <c r="I175" i="49"/>
  <c r="I176" i="49"/>
  <c r="I177" i="49"/>
  <c r="I178" i="49"/>
  <c r="I179" i="49"/>
  <c r="I180" i="49"/>
  <c r="I181" i="49"/>
  <c r="I182" i="49"/>
  <c r="I183" i="49"/>
  <c r="I172" i="49"/>
  <c r="W183" i="49"/>
  <c r="J183" i="49" s="1"/>
  <c r="W182" i="49"/>
  <c r="J182" i="49" s="1"/>
  <c r="W181" i="49"/>
  <c r="J181" i="49" s="1"/>
  <c r="W180" i="49"/>
  <c r="J180" i="49" s="1"/>
  <c r="W179" i="49"/>
  <c r="J179" i="49" s="1"/>
  <c r="W178" i="49"/>
  <c r="J178" i="49" s="1"/>
  <c r="U178" i="49" s="1"/>
  <c r="W177" i="49"/>
  <c r="J177" i="49" s="1"/>
  <c r="W176" i="49"/>
  <c r="J176" i="49" s="1"/>
  <c r="W175" i="49"/>
  <c r="J175" i="49" s="1"/>
  <c r="W174" i="49"/>
  <c r="J174" i="49" s="1"/>
  <c r="W173" i="49"/>
  <c r="J173" i="49" s="1"/>
  <c r="W172" i="49"/>
  <c r="J172" i="49" s="1"/>
  <c r="I140" i="49"/>
  <c r="I141" i="49"/>
  <c r="I142" i="49"/>
  <c r="I143" i="49"/>
  <c r="I144" i="49"/>
  <c r="I145" i="49"/>
  <c r="I146" i="49"/>
  <c r="I139" i="49"/>
  <c r="W146" i="49"/>
  <c r="J146" i="49" s="1"/>
  <c r="W145" i="49"/>
  <c r="J145" i="49" s="1"/>
  <c r="W144" i="49"/>
  <c r="J144" i="49" s="1"/>
  <c r="W143" i="49"/>
  <c r="J143" i="49" s="1"/>
  <c r="W142" i="49"/>
  <c r="J142" i="49" s="1"/>
  <c r="W141" i="49"/>
  <c r="J141" i="49" s="1"/>
  <c r="U141" i="49" s="1"/>
  <c r="W140" i="49"/>
  <c r="J140" i="49" s="1"/>
  <c r="W139" i="49"/>
  <c r="J139" i="49" s="1"/>
  <c r="I106" i="49"/>
  <c r="I107" i="49"/>
  <c r="I108" i="49"/>
  <c r="I109" i="49"/>
  <c r="I110" i="49"/>
  <c r="I111" i="49"/>
  <c r="I112" i="49"/>
  <c r="I105" i="49"/>
  <c r="W112" i="49"/>
  <c r="J112" i="49" s="1"/>
  <c r="W111" i="49"/>
  <c r="J111" i="49" s="1"/>
  <c r="W110" i="49"/>
  <c r="J110" i="49" s="1"/>
  <c r="W109" i="49"/>
  <c r="J109" i="49" s="1"/>
  <c r="W108" i="49"/>
  <c r="J108" i="49" s="1"/>
  <c r="W107" i="49"/>
  <c r="J107" i="49" s="1"/>
  <c r="U107" i="49" s="1"/>
  <c r="W106" i="49"/>
  <c r="J106" i="49" s="1"/>
  <c r="W105" i="49"/>
  <c r="J105" i="49" s="1"/>
  <c r="I74" i="49"/>
  <c r="I75" i="49"/>
  <c r="I76" i="49"/>
  <c r="I77" i="49"/>
  <c r="I78" i="49"/>
  <c r="I79" i="49"/>
  <c r="I80" i="49"/>
  <c r="I73" i="49"/>
  <c r="W80" i="49"/>
  <c r="J80" i="49" s="1"/>
  <c r="W79" i="49"/>
  <c r="J79" i="49" s="1"/>
  <c r="W78" i="49"/>
  <c r="J78" i="49" s="1"/>
  <c r="W77" i="49"/>
  <c r="J77" i="49" s="1"/>
  <c r="W76" i="49"/>
  <c r="J76" i="49" s="1"/>
  <c r="W75" i="49"/>
  <c r="J75" i="49" s="1"/>
  <c r="U75" i="49" s="1"/>
  <c r="W74" i="49"/>
  <c r="J74" i="49" s="1"/>
  <c r="W73" i="49"/>
  <c r="J73" i="49" s="1"/>
  <c r="W72" i="49"/>
  <c r="J72" i="49" s="1"/>
  <c r="U72" i="49" s="1"/>
  <c r="J38" i="49"/>
  <c r="J39" i="49"/>
  <c r="J40" i="49"/>
  <c r="J41" i="49"/>
  <c r="J42" i="49"/>
  <c r="J43" i="49"/>
  <c r="J44" i="49"/>
  <c r="J45" i="49"/>
  <c r="J46" i="49"/>
  <c r="I39" i="49"/>
  <c r="I40" i="49"/>
  <c r="I41" i="49"/>
  <c r="I42" i="49"/>
  <c r="I43" i="49"/>
  <c r="I44" i="49"/>
  <c r="I45" i="49"/>
  <c r="I46" i="49"/>
  <c r="I38" i="49"/>
  <c r="H39" i="49"/>
  <c r="H40" i="49"/>
  <c r="H41" i="49"/>
  <c r="H42" i="49"/>
  <c r="H43" i="49"/>
  <c r="H44" i="49"/>
  <c r="H45" i="49"/>
  <c r="H46" i="49"/>
  <c r="H38" i="49"/>
  <c r="U404" i="49"/>
  <c r="U372" i="49"/>
  <c r="U339" i="49"/>
  <c r="U305" i="49"/>
  <c r="U271" i="49"/>
  <c r="U237" i="49"/>
  <c r="U204" i="49"/>
  <c r="U171" i="49"/>
  <c r="U104" i="49"/>
  <c r="U71" i="49"/>
  <c r="U37" i="49"/>
  <c r="I18" i="49"/>
  <c r="J17" i="49"/>
  <c r="I17" i="49"/>
  <c r="H17" i="49"/>
  <c r="J16" i="49"/>
  <c r="I16" i="49"/>
  <c r="H15" i="49"/>
  <c r="H14" i="49"/>
  <c r="H13" i="49"/>
  <c r="H12" i="49"/>
  <c r="H11" i="49"/>
  <c r="H10" i="49"/>
  <c r="H9" i="49"/>
  <c r="H8" i="49"/>
  <c r="H7" i="49"/>
  <c r="P5" i="49"/>
  <c r="O5" i="49"/>
  <c r="M5" i="49"/>
  <c r="L5" i="49"/>
  <c r="K5" i="49"/>
  <c r="U79" i="49" l="1"/>
  <c r="U211" i="49"/>
  <c r="U240" i="49"/>
  <c r="U39" i="49"/>
  <c r="U307" i="49"/>
  <c r="U274" i="49"/>
  <c r="U346" i="49"/>
  <c r="U45" i="49"/>
  <c r="U80" i="49"/>
  <c r="U44" i="49"/>
  <c r="U74" i="49"/>
  <c r="U206" i="49"/>
  <c r="U210" i="49"/>
  <c r="U239" i="49"/>
  <c r="U279" i="49"/>
  <c r="U38" i="49"/>
  <c r="U40" i="49"/>
  <c r="U173" i="49"/>
  <c r="U208" i="49"/>
  <c r="I236" i="49"/>
  <c r="I12" i="49" s="1"/>
  <c r="U43" i="49"/>
  <c r="I304" i="49"/>
  <c r="I14" i="49" s="1"/>
  <c r="U73" i="49"/>
  <c r="U143" i="49"/>
  <c r="U17" i="49"/>
  <c r="U146" i="49"/>
  <c r="U277" i="49"/>
  <c r="U108" i="49"/>
  <c r="U142" i="49"/>
  <c r="U176" i="49"/>
  <c r="U278" i="49"/>
  <c r="U343" i="49"/>
  <c r="U76" i="49"/>
  <c r="U311" i="49"/>
  <c r="U77" i="49"/>
  <c r="U209" i="49"/>
  <c r="U276" i="49"/>
  <c r="U275" i="49"/>
  <c r="U106" i="49"/>
  <c r="U177" i="49"/>
  <c r="U179" i="49"/>
  <c r="U46" i="49"/>
  <c r="J36" i="49"/>
  <c r="J6" i="49" s="1"/>
  <c r="I137" i="49"/>
  <c r="I9" i="49" s="1"/>
  <c r="U238" i="49"/>
  <c r="U308" i="49"/>
  <c r="U109" i="49"/>
  <c r="U139" i="49"/>
  <c r="U172" i="49"/>
  <c r="U110" i="49"/>
  <c r="U181" i="49"/>
  <c r="U175" i="49"/>
  <c r="U212" i="49"/>
  <c r="I270" i="49"/>
  <c r="I13" i="49" s="1"/>
  <c r="U309" i="49"/>
  <c r="U111" i="49"/>
  <c r="U182" i="49"/>
  <c r="U312" i="49"/>
  <c r="U18" i="49"/>
  <c r="U41" i="49"/>
  <c r="I70" i="49"/>
  <c r="I7" i="49" s="1"/>
  <c r="U112" i="49"/>
  <c r="U144" i="49"/>
  <c r="U244" i="49"/>
  <c r="U42" i="49"/>
  <c r="U180" i="49"/>
  <c r="I170" i="49"/>
  <c r="I10" i="49" s="1"/>
  <c r="I103" i="49"/>
  <c r="I8" i="49" s="1"/>
  <c r="U242" i="49"/>
  <c r="U310" i="49"/>
  <c r="U243" i="49"/>
  <c r="I203" i="49"/>
  <c r="I11" i="49" s="1"/>
  <c r="U145" i="49"/>
  <c r="J203" i="49"/>
  <c r="J11" i="49" s="1"/>
  <c r="U342" i="49"/>
  <c r="I338" i="49"/>
  <c r="I15" i="49" s="1"/>
  <c r="U183" i="49"/>
  <c r="U245" i="49"/>
  <c r="I36" i="49"/>
  <c r="I6" i="49" s="1"/>
  <c r="U174" i="49"/>
  <c r="U246" i="49"/>
  <c r="U272" i="49"/>
  <c r="U344" i="49"/>
  <c r="U140" i="49"/>
  <c r="U78" i="49"/>
  <c r="U273" i="49"/>
  <c r="U345" i="49"/>
  <c r="J338" i="49"/>
  <c r="J15" i="49" s="1"/>
  <c r="U340" i="49"/>
  <c r="U306" i="49"/>
  <c r="J304" i="49"/>
  <c r="J14" i="49" s="1"/>
  <c r="U205" i="49"/>
  <c r="J103" i="49"/>
  <c r="J8" i="49" s="1"/>
  <c r="U16" i="49"/>
  <c r="H36" i="49"/>
  <c r="U105" i="49"/>
  <c r="J137" i="49"/>
  <c r="J9" i="49" s="1"/>
  <c r="J70" i="49"/>
  <c r="J7" i="49" s="1"/>
  <c r="J170" i="49"/>
  <c r="J10" i="49" s="1"/>
  <c r="J236" i="49"/>
  <c r="J12" i="49" s="1"/>
  <c r="J270" i="49"/>
  <c r="J13" i="49" s="1"/>
  <c r="U13" i="49" l="1"/>
  <c r="U12" i="49"/>
  <c r="U10" i="49"/>
  <c r="U14" i="49"/>
  <c r="I5" i="49"/>
  <c r="U15" i="49"/>
  <c r="U36" i="49"/>
  <c r="U8" i="49"/>
  <c r="U9" i="49"/>
  <c r="U103" i="49"/>
  <c r="U304" i="49"/>
  <c r="U11" i="49"/>
  <c r="H6" i="49"/>
  <c r="U6" i="49" s="1"/>
  <c r="U203" i="49"/>
  <c r="U338" i="49"/>
  <c r="U236" i="49"/>
  <c r="U137" i="49"/>
  <c r="J5" i="49"/>
  <c r="U70" i="49"/>
  <c r="U270" i="49"/>
  <c r="U170" i="49"/>
  <c r="U7" i="49"/>
  <c r="H5" i="49" l="1"/>
  <c r="U5" i="49" s="1"/>
</calcChain>
</file>

<file path=xl/sharedStrings.xml><?xml version="1.0" encoding="utf-8"?>
<sst xmlns="http://schemas.openxmlformats.org/spreadsheetml/2006/main" count="848" uniqueCount="168">
  <si>
    <t>หน่วย</t>
  </si>
  <si>
    <t>บช.น.</t>
  </si>
  <si>
    <t>ภ.1</t>
  </si>
  <si>
    <t>ภ.2</t>
  </si>
  <si>
    <t>ภ.3</t>
  </si>
  <si>
    <t>ภ.4</t>
  </si>
  <si>
    <t>ภ.5</t>
  </si>
  <si>
    <t>ภ.6</t>
  </si>
  <si>
    <t>ภ.7</t>
  </si>
  <si>
    <t>ภ.8</t>
  </si>
  <si>
    <t>ภ.9</t>
  </si>
  <si>
    <t>รพ.ตร.</t>
  </si>
  <si>
    <t>รวมทั้งสิ้น</t>
  </si>
  <si>
    <t>วัสดุ</t>
  </si>
  <si>
    <t>ค่าอาหาร</t>
  </si>
  <si>
    <t>รวมทุก บช.</t>
  </si>
  <si>
    <t>รวม บช.น.</t>
  </si>
  <si>
    <t>รวม ภ.1</t>
  </si>
  <si>
    <t>รวม ภ.2</t>
  </si>
  <si>
    <t>รวม ภ.3</t>
  </si>
  <si>
    <t>รวม ภ.4</t>
  </si>
  <si>
    <t>รวม ภ.5</t>
  </si>
  <si>
    <t>รวม ภ.6</t>
  </si>
  <si>
    <t>รวม ภ.7</t>
  </si>
  <si>
    <t>รวม ภ.8</t>
  </si>
  <si>
    <t>รวม ภ.9</t>
  </si>
  <si>
    <t>โฆษณา</t>
  </si>
  <si>
    <t>/เผยแพร่</t>
  </si>
  <si>
    <t>อาหาร</t>
  </si>
  <si>
    <t>สำเร็จรูป</t>
  </si>
  <si>
    <t>เบี้ยเลี้ยง/ที่พัก</t>
  </si>
  <si>
    <t>ค่าน้ำมัน</t>
  </si>
  <si>
    <t>เชื้อเพลิง</t>
  </si>
  <si>
    <t>ค่าวัสดุ</t>
  </si>
  <si>
    <t>สำนักงาน</t>
  </si>
  <si>
    <t>รวมตอบแทน</t>
  </si>
  <si>
    <t>ใช้สอย/วัสดุ</t>
  </si>
  <si>
    <t>ปัดเศษหลักร้อย</t>
  </si>
  <si>
    <t>ตอบแทนฯ</t>
  </si>
  <si>
    <t>ค่าสาธารณู</t>
  </si>
  <si>
    <t>ปโภค</t>
  </si>
  <si>
    <t>รวมงบ</t>
  </si>
  <si>
    <t>ดำเนินงาน</t>
  </si>
  <si>
    <t>ค่าเช่า</t>
  </si>
  <si>
    <t>รถยนต์</t>
  </si>
  <si>
    <t>บ้าน</t>
  </si>
  <si>
    <t>เบี้ย</t>
  </si>
  <si>
    <t>ประกัน</t>
  </si>
  <si>
    <t>ประชุม</t>
  </si>
  <si>
    <t>น.1</t>
  </si>
  <si>
    <t>น.2</t>
  </si>
  <si>
    <t>น.3</t>
  </si>
  <si>
    <t>น.4</t>
  </si>
  <si>
    <t>น.5</t>
  </si>
  <si>
    <t>น.6</t>
  </si>
  <si>
    <t>น.7</t>
  </si>
  <si>
    <t>น.8</t>
  </si>
  <si>
    <t>น.9</t>
  </si>
  <si>
    <t>ภ.จว.ชัยนาท</t>
  </si>
  <si>
    <t>ภ.จว.นนทบุรี</t>
  </si>
  <si>
    <t>ภ.จว.ปทุมธานี</t>
  </si>
  <si>
    <t>ภ.จว.พระนครศรีอยุธยา</t>
  </si>
  <si>
    <t>ภ.จว.ลพบุรี</t>
  </si>
  <si>
    <t>ภ.จว.สมุทรปราการ</t>
  </si>
  <si>
    <t>ภ.จว.สระบุรี</t>
  </si>
  <si>
    <t>ภ.จว.สิงห์บุรี</t>
  </si>
  <si>
    <t>ภ.จว.จันทบุรี</t>
  </si>
  <si>
    <t>ภ.จว.ฉะเชิงเทรา</t>
  </si>
  <si>
    <t>ภ.จว.ชลบุรี</t>
  </si>
  <si>
    <t>ภ.จว.ตราด</t>
  </si>
  <si>
    <t>ภ.จว.นครนายก</t>
  </si>
  <si>
    <t>ภ.จว.ปราจีนบุรี</t>
  </si>
  <si>
    <t>ภ.จว.ระยอง</t>
  </si>
  <si>
    <t>ภ.จว.สระแก้ว</t>
  </si>
  <si>
    <t>ภ.จว.ชัยภูมิ</t>
  </si>
  <si>
    <t>ภ.จว.นครราชสีมา</t>
  </si>
  <si>
    <t>ภ.จว.บุรีรัมย์</t>
  </si>
  <si>
    <t>ภ.จว.ยโสธร</t>
  </si>
  <si>
    <t>ภ.จว.ศรีสะเกษ</t>
  </si>
  <si>
    <t>ภ.จว.สุรินทร์</t>
  </si>
  <si>
    <t>ภ.จว.อุบลราชธานี</t>
  </si>
  <si>
    <t>ภ.จว.อำนาจเจริญ</t>
  </si>
  <si>
    <t>ภ.จว.กาฬสินธุ์</t>
  </si>
  <si>
    <t>ภ.จว.ขอนแก่น</t>
  </si>
  <si>
    <t>ภ.จว.นครพนม</t>
  </si>
  <si>
    <t>ภ.จว.บึงกาฬ</t>
  </si>
  <si>
    <t>ภ.จว.มหาสารคาม</t>
  </si>
  <si>
    <t>ภ.จว.มุกดาหาร</t>
  </si>
  <si>
    <t>ภ.จว.ร้อยเอ็ด</t>
  </si>
  <si>
    <t>ภ.จว.เลย</t>
  </si>
  <si>
    <t>ภ.จว.สกลนคร</t>
  </si>
  <si>
    <t>ภ.จว.หนองคาย</t>
  </si>
  <si>
    <t>ภ.จว.หนองบัวลำภู</t>
  </si>
  <si>
    <t>ภ.จว.อุดรธานี</t>
  </si>
  <si>
    <t>ภ.จว.เชียงราย</t>
  </si>
  <si>
    <t>ภ.จว.เชียงใหม่</t>
  </si>
  <si>
    <t>ภ.จว.น่าน</t>
  </si>
  <si>
    <t>ภ.จว.แพร่</t>
  </si>
  <si>
    <t>ภ.จว.พะเยา</t>
  </si>
  <si>
    <t>ภ.จว.แม่ฮ่องสอน</t>
  </si>
  <si>
    <t>ภ.จว.ลำปาง</t>
  </si>
  <si>
    <t>ภ.จว.ลำพูน</t>
  </si>
  <si>
    <t>ภ.จว.กำแพงเพชร</t>
  </si>
  <si>
    <t>ภ.จว.ตาก</t>
  </si>
  <si>
    <t>ภ.จว.นครสวรรค์</t>
  </si>
  <si>
    <t>ภ.จว.พิจิตร</t>
  </si>
  <si>
    <t>ภ.จว.พิษณุโลก</t>
  </si>
  <si>
    <t>ภ.จว.เพชรบูรณ์</t>
  </si>
  <si>
    <t>ภ.จว.สุโขทัย</t>
  </si>
  <si>
    <t>ภ.จว.อุตรดิตถ์</t>
  </si>
  <si>
    <t>ภ.จว.อุทัยธานี</t>
  </si>
  <si>
    <t>ภ.จว.กาญจนบุรี</t>
  </si>
  <si>
    <t>ภ.จว.นครปฐม</t>
  </si>
  <si>
    <t>ภ.จว.เพชรบุรี</t>
  </si>
  <si>
    <t>ภ.จว.ราชบุรี</t>
  </si>
  <si>
    <t>ภ.จว.สมุทรสงคราม</t>
  </si>
  <si>
    <t>ภ.จว.สมุทรสาคร</t>
  </si>
  <si>
    <t>ภ.จว.สุพรรณบุรี</t>
  </si>
  <si>
    <t>ภ.จว.กระบี่</t>
  </si>
  <si>
    <t>ภ.จว.ชุมพร</t>
  </si>
  <si>
    <t>ภ.จว.นครศรีธรรมราช</t>
  </si>
  <si>
    <t>ภ.จว.พังงา</t>
  </si>
  <si>
    <t>ภ.จว.ภูเก็ต</t>
  </si>
  <si>
    <t>ภ.จว.ระนอง</t>
  </si>
  <si>
    <t>ภ.จว.สุราษฎร์ธานี</t>
  </si>
  <si>
    <t>ภ.จว.ตรัง</t>
  </si>
  <si>
    <t>ภ.จว.พัทลุง</t>
  </si>
  <si>
    <t>ภ.จว.สตูล</t>
  </si>
  <si>
    <t>ภ.จว.นราธิวาส</t>
  </si>
  <si>
    <t>ภ.จว.ปัตตานี</t>
  </si>
  <si>
    <t>ภ.จว.ยะลา</t>
  </si>
  <si>
    <t>ภ.จว.อ่างทอง</t>
  </si>
  <si>
    <t>บช.ก. (รฟ.)</t>
  </si>
  <si>
    <t>แบบพิมพ์</t>
  </si>
  <si>
    <t>คอมพิวเตอร์</t>
  </si>
  <si>
    <t>ค่าใช้จ่าย</t>
  </si>
  <si>
    <t>สัมมนา/ฝึกอบรม</t>
  </si>
  <si>
    <t>ทำการนอกเวลา</t>
  </si>
  <si>
    <t>ค่าตอบแทน</t>
  </si>
  <si>
    <t>อาสาสมัครฯ</t>
  </si>
  <si>
    <t>ภ.จว.สงขลา</t>
  </si>
  <si>
    <t>ภ.จว.ประจวบคีรีขันธ์</t>
  </si>
  <si>
    <t>สยศ.ตร. (ผอ.)</t>
  </si>
  <si>
    <t>สยศ.ตร.(ผอ.)</t>
  </si>
  <si>
    <t>งบบริหาร 3%</t>
  </si>
  <si>
    <t>และพาหนะ</t>
  </si>
  <si>
    <t>ภ.4 (บช.)</t>
  </si>
  <si>
    <t>ภ.5 (บช.)</t>
  </si>
  <si>
    <t>ภ.6 (บช.)</t>
  </si>
  <si>
    <t>ภ.7 (บช.)</t>
  </si>
  <si>
    <t xml:space="preserve">  (ทั้งนี้จัดสรรให้สถานีตำรวจที่มีสถิติคดีเกี่นวกับทรัพย์สูง จำนวน 483 สถานี) ได้แก่ บช.น.  จำนวน 74 สน., ภ.1 จำนวน 61 สภ., ภ.2 จำนวน 53 สภ., ภ.3 จำนวน 33 สภ., </t>
  </si>
  <si>
    <t xml:space="preserve">   ภ.4 จำนวน 46 สภ., ภ.5 จำนวน 37 สภ., ภ.6 จำนวน 25 สภ., ภ.7 จำนวน 56 สภ., ภ.8 จำนวน 39 สภ. และ ภ.9 จำนวน 59 สภ. </t>
  </si>
  <si>
    <t>เครื่องแต่งกาย</t>
  </si>
  <si>
    <t xml:space="preserve">     และเพิ่มช่วงเทศกาลปีใหม่ 2 วัน (ค่าอาหารทำการนอกเวลา/ค่าเบี้ยเลี้ยงชุดปฏิบัติการชุมชนสัมพันธ์ 5 นาย*200 บาท*22 วัน ปฏิบัติงานไม่น้อยกว่า 22 วัน/ไตรมาส 1-2 ส่วนที่เหลือถัวเป็นค่าพาหนะสำหรับเข้าปฏิบัติงาน)</t>
  </si>
  <si>
    <t xml:space="preserve">     และเพิ่มช่วงเทศกาลปีใหม่ 2 วัน (ค่าอาหารทำการนอกเวลา/ค่าเบี้ยเลี้ยงชุดปฏิบัติการชุมชนสัมพันธ์ 4 นาย*200 บาท*22 วัน ปฏิบัติงานไม่น้อยกว่า 22 วัน/ไตรมาส 1-2  ส่วนที่เหลือถัวเป็นค่าพาหนะสำหรับเข้าปฏิบัติงาน)</t>
  </si>
  <si>
    <t xml:space="preserve">     และเพิ่มช่วงเทศกาลปีใหม่ 2 วัน (ค่าอาหารทำการนอกเวลา/ค่าเบี้ยเลี้ยงชุดปฏิบัติการชุมชนสัมพันธ์ 3 นาย*200 บาท*22 วัน ปฏิบัติงานไม่น้อยกว่า 22 วัน/ไตรมาส 1- 2 ส่วนที่เหลือถัวเป็นค่าพาหนะสำหรับเข้าปฏิบัติงาน)</t>
  </si>
  <si>
    <t xml:space="preserve">1. ค่าอาหารทำการนอกเวลา/ค่าเบี้ยเลี้ยงและค่าพาหนะของชุดปฏิบัติการชุมชนสัมพันธ์ สถานีตำรวจระดับ ผกก. เป็นหัวหน้าสถานี ชุดละ 28,000 บาท/ไตรมาส 1-2 (ชุดปฏิบัติการ 5 นาย เข้าหมู่บ้าน/ชุมชนเป้าหมาย ไม่น้อยกว่า 22  วัน ปฏิบัติงาน 4 วัน/เดือน จำนวน 5 เดือน </t>
  </si>
  <si>
    <t xml:space="preserve">2. ค่าอาหารทำการนอกเวลา/ค่าเบี้ยเลี้ยงและค่าพาหนะของชุดปฏิบัติการชุมชนสัมพันธ์ สถานีตำรวจระดับ สวญ. เป็นหัวหน้าสถานี ชุดละ 22,400 บาท/ไตรมาส 1-2 (ชุดปฏิบัติการ 4 นาย เข้าหมู่บ้าน/ชุมชนเป้าหมาย ไม่น้อยกว่า 22  วัน ปฏิบัติงาน 4 วัน/เดือน จำนวน 5 เดือน </t>
  </si>
  <si>
    <t xml:space="preserve">3. ค่าอาหารทำการนอกเวลา/ค่าเบี้ยเลี้ยงและค่าพาหนะของชุดปฏิบัติการชุมชนสัมพันธ์ สถานีตำรวจระดับ สว. เป็นหัวหน้าสถานี ชุดละ 16,800 บาท/ไตรมาส 1-2 (ชุดปฏิบัติการ 3 นาย เข้าหมู่บ้าน/ชุมชนเป้าหมาย ไม่น้อยกว่า 22  วัน  ปฏิบัติงาน 4 วัน/เดือน จำนวน 5 เดือน </t>
  </si>
  <si>
    <t>4. ค่าเบี้ยเลี้ยงที่พักและพาหนะสำหรับ บก./ภ.จว. สำหรับตรวจติดตามผลการปฏิบัติงานของชุด ชมส. ไตรมาส 1-2  ชมส. บก./ภ.จว.ละ 10,000 บาท</t>
  </si>
  <si>
    <t>หลักเกณฑ์การเบิกจ่าย ไตรมาส 1-2</t>
  </si>
  <si>
    <t xml:space="preserve">      ค่าอาหารทำการนอกเวลา/ค่าเบี้ยเลี้ยงและค่าพาหนะของชุดปฏิบัติการชุมชนสัมพันธ์ สถานีตำรวจระดับ สวญ. เป็นหัวหน้าสถานี ชุดละ 22,400 บาท/ไตรมาส 1-2 (ชุดปฏิบัติการ 4 นาย เข้าหมู่บ้าน/ชุมชนเป้าหมาย ไม่น้อยกว่า 22  วัน ปฏิบัติงาน 4 วัน/เดือน จำนวน 5 เดือน </t>
  </si>
  <si>
    <t>6. ค่าตอบแทนอาสาสมัครตำรวจบ้าน สถานีละ 24,000 บาท/ไตรมาส 1-2   สถานีละ 10 คน*100 บาทต่อวัน*24  วัน ปฏิบัติงาน 4 วันต่อเดือน จำนวน 5  เดือน  เพิ่มเทศกาลปีใหม่ 4 วัน รวม 24 วัน</t>
  </si>
  <si>
    <t xml:space="preserve">งบบริหาร </t>
  </si>
  <si>
    <t>5. ค่าเบี้ยเลี้ยง ที่พักและพาหนะ สำหรับ บช. ในการออกตรวจติดตามผลการปฏิบัติงานของชุด ชมส. ไตรมาส 1-2   บช.ละ 10,000 บาท</t>
  </si>
  <si>
    <t>งบดำเนินงาน งานชุมชนและมวลชนสัมพันธ์ ปีงบประมาณ 2563 ไตรมาส 1-2  วงเงิน 59,381,600 บาท  (ฐานเดิมจาก 62)</t>
  </si>
  <si>
    <t>งบประมาณสำหรับดำเนินกิจกรรมการออกหน่วยแพทย์เคลื่อนที่และชุมชนสงเคราะห์ประจำปีงบประมาณ พ.ศ.2563</t>
  </si>
  <si>
    <t>งบประมาณสำหรับการดำเนินงานชุมชนและมวลชนสัมพันธ์ในภาพรวม ประจำปีงบประมาณ พ.ศ.2563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</si>
</sst>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0"/>
      <name val="Arial"/>
      <charset val="22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4"/>
      <name val="TH SarabunPSK"/>
      <family val="2"/>
    </font>
    <font>
      <sz val="9"/>
      <name val="TH SarabunPSK"/>
      <family val="2"/>
    </font>
    <font>
      <sz val="10.5"/>
      <name val="TH SarabunPSK"/>
      <family val="2"/>
    </font>
    <font>
      <sz val="10.5"/>
      <color rgb="FFFF0000"/>
      <name val="TH SarabunPSK"/>
      <family val="2"/>
    </font>
    <font>
      <sz val="10"/>
      <name val="TH SarabunPSK"/>
      <family val="2"/>
    </font>
    <font>
      <sz val="7"/>
      <name val="TH SarabunPSK"/>
      <family val="2"/>
    </font>
    <font>
      <sz val="8"/>
      <name val="TH SarabunPSK"/>
      <family val="2"/>
    </font>
    <font>
      <sz val="5"/>
      <name val="TH SarabunPSK"/>
      <family val="2"/>
    </font>
    <font>
      <sz val="6"/>
      <name val="TH SarabunPSK"/>
      <family val="2"/>
    </font>
    <font>
      <b/>
      <sz val="7"/>
      <color rgb="FF009900"/>
      <name val="TH SarabunPSK"/>
      <family val="2"/>
    </font>
    <font>
      <b/>
      <sz val="7"/>
      <color rgb="FFFF0000"/>
      <name val="TH SarabunPSK"/>
      <family val="2"/>
    </font>
    <font>
      <b/>
      <sz val="6"/>
      <name val="TH SarabunPSK"/>
      <family val="2"/>
    </font>
    <font>
      <sz val="7"/>
      <color rgb="FFFF0000"/>
      <name val="TH SarabunPSK"/>
      <family val="2"/>
    </font>
    <font>
      <sz val="7"/>
      <color rgb="FF009900"/>
      <name val="TH SarabunPSK"/>
      <family val="2"/>
    </font>
    <font>
      <sz val="13.5"/>
      <name val="TH SarabunPSK"/>
      <family val="2"/>
    </font>
    <font>
      <sz val="10"/>
      <color theme="0"/>
      <name val="TH SarabunPSK"/>
      <family val="2"/>
    </font>
    <font>
      <sz val="7"/>
      <color rgb="FF00B050"/>
      <name val="TH SarabunPSK"/>
      <family val="2"/>
    </font>
    <font>
      <sz val="7"/>
      <color theme="0"/>
      <name val="TH SarabunPSK"/>
      <family val="2"/>
    </font>
    <font>
      <b/>
      <sz val="7"/>
      <color rgb="FF00B050"/>
      <name val="TH SarabunPSK"/>
      <family val="2"/>
    </font>
    <font>
      <b/>
      <sz val="7"/>
      <color theme="0"/>
      <name val="TH SarabunPSK"/>
      <family val="2"/>
    </font>
    <font>
      <b/>
      <sz val="7"/>
      <name val="TH SarabunPSK"/>
      <family val="2"/>
    </font>
    <font>
      <sz val="7"/>
      <color theme="9" tint="-0.249977111117893"/>
      <name val="TH SarabunPSK"/>
      <family val="2"/>
    </font>
    <font>
      <sz val="7"/>
      <color rgb="FFFFC00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3" fontId="5" fillId="0" borderId="0" xfId="0" applyNumberFormat="1" applyFont="1"/>
    <xf numFmtId="3" fontId="4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9" fontId="9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3" fontId="8" fillId="0" borderId="0" xfId="0" applyNumberFormat="1" applyFont="1"/>
    <xf numFmtId="0" fontId="10" fillId="0" borderId="5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0" fontId="10" fillId="0" borderId="3" xfId="0" applyFont="1" applyBorder="1"/>
    <xf numFmtId="3" fontId="9" fillId="0" borderId="3" xfId="0" applyNumberFormat="1" applyFont="1" applyBorder="1"/>
    <xf numFmtId="3" fontId="16" fillId="0" borderId="3" xfId="0" applyNumberFormat="1" applyFont="1" applyBorder="1"/>
    <xf numFmtId="3" fontId="15" fillId="0" borderId="3" xfId="0" applyNumberFormat="1" applyFont="1" applyBorder="1"/>
    <xf numFmtId="0" fontId="10" fillId="0" borderId="4" xfId="0" applyFont="1" applyBorder="1"/>
    <xf numFmtId="3" fontId="9" fillId="0" borderId="4" xfId="0" applyNumberFormat="1" applyFont="1" applyBorder="1"/>
    <xf numFmtId="3" fontId="17" fillId="0" borderId="4" xfId="0" applyNumberFormat="1" applyFont="1" applyBorder="1"/>
    <xf numFmtId="3" fontId="16" fillId="0" borderId="4" xfId="0" applyNumberFormat="1" applyFont="1" applyBorder="1"/>
    <xf numFmtId="0" fontId="10" fillId="0" borderId="4" xfId="0" applyFont="1" applyFill="1" applyBorder="1"/>
    <xf numFmtId="3" fontId="9" fillId="0" borderId="4" xfId="0" applyNumberFormat="1" applyFont="1" applyFill="1" applyBorder="1"/>
    <xf numFmtId="3" fontId="16" fillId="0" borderId="4" xfId="0" applyNumberFormat="1" applyFont="1" applyFill="1" applyBorder="1"/>
    <xf numFmtId="3" fontId="15" fillId="0" borderId="3" xfId="0" applyNumberFormat="1" applyFont="1" applyFill="1" applyBorder="1"/>
    <xf numFmtId="0" fontId="8" fillId="0" borderId="0" xfId="0" applyFont="1" applyFill="1"/>
    <xf numFmtId="0" fontId="18" fillId="0" borderId="0" xfId="0" applyFont="1"/>
    <xf numFmtId="0" fontId="19" fillId="0" borderId="0" xfId="0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13" fillId="0" borderId="6" xfId="0" applyNumberFormat="1" applyFont="1" applyBorder="1"/>
    <xf numFmtId="3" fontId="17" fillId="0" borderId="3" xfId="0" applyNumberFormat="1" applyFont="1" applyBorder="1"/>
    <xf numFmtId="3" fontId="20" fillId="0" borderId="3" xfId="0" applyNumberFormat="1" applyFont="1" applyBorder="1"/>
    <xf numFmtId="3" fontId="21" fillId="0" borderId="0" xfId="0" applyNumberFormat="1" applyFont="1" applyBorder="1"/>
    <xf numFmtId="3" fontId="20" fillId="0" borderId="4" xfId="0" applyNumberFormat="1" applyFont="1" applyBorder="1"/>
    <xf numFmtId="3" fontId="9" fillId="0" borderId="0" xfId="0" applyNumberFormat="1" applyFont="1" applyBorder="1"/>
    <xf numFmtId="3" fontId="20" fillId="0" borderId="0" xfId="0" applyNumberFormat="1" applyFont="1" applyBorder="1"/>
    <xf numFmtId="0" fontId="21" fillId="0" borderId="0" xfId="0" applyFont="1" applyBorder="1" applyAlignment="1">
      <alignment horizontal="center"/>
    </xf>
    <xf numFmtId="0" fontId="8" fillId="0" borderId="0" xfId="0" applyFont="1" applyBorder="1"/>
    <xf numFmtId="3" fontId="22" fillId="0" borderId="6" xfId="0" applyNumberFormat="1" applyFont="1" applyBorder="1"/>
    <xf numFmtId="3" fontId="23" fillId="0" borderId="0" xfId="0" applyNumberFormat="1" applyFont="1" applyBorder="1"/>
    <xf numFmtId="3" fontId="19" fillId="0" borderId="0" xfId="0" applyNumberFormat="1" applyFont="1" applyBorder="1"/>
    <xf numFmtId="3" fontId="10" fillId="0" borderId="0" xfId="0" applyNumberFormat="1" applyFont="1"/>
    <xf numFmtId="3" fontId="12" fillId="0" borderId="0" xfId="0" applyNumberFormat="1" applyFont="1"/>
    <xf numFmtId="3" fontId="9" fillId="0" borderId="0" xfId="0" applyNumberFormat="1" applyFont="1"/>
    <xf numFmtId="3" fontId="24" fillId="0" borderId="3" xfId="0" applyNumberFormat="1" applyFont="1" applyBorder="1"/>
    <xf numFmtId="3" fontId="24" fillId="0" borderId="4" xfId="0" applyNumberFormat="1" applyFont="1" applyBorder="1"/>
    <xf numFmtId="3" fontId="25" fillId="0" borderId="0" xfId="0" applyNumberFormat="1" applyFont="1"/>
    <xf numFmtId="3" fontId="20" fillId="0" borderId="6" xfId="0" applyNumberFormat="1" applyFont="1" applyBorder="1"/>
    <xf numFmtId="3" fontId="26" fillId="0" borderId="0" xfId="0" applyNumberFormat="1" applyFont="1"/>
    <xf numFmtId="3" fontId="22" fillId="0" borderId="3" xfId="0" applyNumberFormat="1" applyFont="1" applyBorder="1"/>
    <xf numFmtId="3" fontId="22" fillId="0" borderId="6" xfId="0" applyNumberFormat="1" applyFont="1" applyFill="1" applyBorder="1"/>
    <xf numFmtId="3" fontId="23" fillId="0" borderId="0" xfId="0" applyNumberFormat="1" applyFont="1" applyFill="1" applyBorder="1"/>
    <xf numFmtId="3" fontId="9" fillId="0" borderId="3" xfId="0" applyNumberFormat="1" applyFont="1" applyFill="1" applyBorder="1"/>
    <xf numFmtId="3" fontId="21" fillId="0" borderId="0" xfId="0" applyNumberFormat="1" applyFont="1" applyFill="1" applyBorder="1"/>
    <xf numFmtId="3" fontId="22" fillId="0" borderId="0" xfId="0" applyNumberFormat="1" applyFont="1" applyBorder="1"/>
    <xf numFmtId="3" fontId="24" fillId="0" borderId="6" xfId="0" applyNumberFormat="1" applyFont="1" applyBorder="1"/>
    <xf numFmtId="3" fontId="24" fillId="0" borderId="6" xfId="0" applyNumberFormat="1" applyFont="1" applyFill="1" applyBorder="1"/>
    <xf numFmtId="0" fontId="9" fillId="0" borderId="3" xfId="0" applyFont="1" applyBorder="1" applyAlignment="1">
      <alignment horizontal="center"/>
    </xf>
    <xf numFmtId="3" fontId="10" fillId="0" borderId="4" xfId="0" applyNumberFormat="1" applyFont="1" applyBorder="1"/>
  </cellXfs>
  <cellStyles count="4">
    <cellStyle name="เครื่องหมายจุลภาค 2" xfId="1" xr:uid="{00000000-0005-0000-0000-000000000000}"/>
    <cellStyle name="ปกติ" xfId="0" builtinId="0"/>
    <cellStyle name="ปกติ 2" xfId="2" xr:uid="{00000000-0005-0000-0000-000002000000}"/>
    <cellStyle name="ปกติ 3" xfId="3" xr:uid="{00000000-0005-0000-0000-000003000000}"/>
  </cellStyles>
  <dxfs count="0"/>
  <tableStyles count="0" defaultTableStyle="TableStyleMedium9" defaultPivotStyle="PivotStyleLight16"/>
  <colors>
    <mruColors>
      <color rgb="FF0099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498231</xdr:colOff>
      <xdr:row>0</xdr:row>
      <xdr:rowOff>131886</xdr:rowOff>
    </xdr:from>
    <xdr:to>
      <xdr:col>20</xdr:col>
      <xdr:colOff>410308</xdr:colOff>
      <xdr:row>1</xdr:row>
      <xdr:rowOff>256444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360019" y="131886"/>
          <a:ext cx="1450731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th-TH" sz="1100"/>
            <a:t>ภาพรวมไตรมาส 1- 2</a:t>
          </a:r>
        </a:p>
      </xdr:txBody>
    </xdr:sp>
    <xdr:clientData/>
  </xdr:twoCellAnchor>
  <xdr:twoCellAnchor>
    <xdr:from>
      <xdr:col>17</xdr:col>
      <xdr:colOff>410308</xdr:colOff>
      <xdr:row>31</xdr:row>
      <xdr:rowOff>43960</xdr:rowOff>
    </xdr:from>
    <xdr:to>
      <xdr:col>20</xdr:col>
      <xdr:colOff>454271</xdr:colOff>
      <xdr:row>32</xdr:row>
      <xdr:rowOff>102576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250116" y="6374422"/>
          <a:ext cx="1560636" cy="2491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บช.น. (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ไตรมาส 1- 2)</a:t>
          </a:r>
          <a:endParaRPr lang="th-TH" sz="1100"/>
        </a:p>
      </xdr:txBody>
    </xdr:sp>
    <xdr:clientData/>
  </xdr:twoCellAnchor>
  <xdr:twoCellAnchor>
    <xdr:from>
      <xdr:col>18</xdr:col>
      <xdr:colOff>73269</xdr:colOff>
      <xdr:row>64</xdr:row>
      <xdr:rowOff>146538</xdr:rowOff>
    </xdr:from>
    <xdr:to>
      <xdr:col>20</xdr:col>
      <xdr:colOff>454271</xdr:colOff>
      <xdr:row>66</xdr:row>
      <xdr:rowOff>95249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565173" y="12844096"/>
          <a:ext cx="1289540" cy="2710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ภ.1 (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ไตรมาส 1- 2)</a:t>
          </a:r>
          <a:endParaRPr lang="th-TH" sz="1100"/>
        </a:p>
      </xdr:txBody>
    </xdr:sp>
    <xdr:clientData/>
  </xdr:twoCellAnchor>
  <xdr:twoCellAnchor>
    <xdr:from>
      <xdr:col>18</xdr:col>
      <xdr:colOff>73269</xdr:colOff>
      <xdr:row>97</xdr:row>
      <xdr:rowOff>131885</xdr:rowOff>
    </xdr:from>
    <xdr:to>
      <xdr:col>20</xdr:col>
      <xdr:colOff>454269</xdr:colOff>
      <xdr:row>99</xdr:row>
      <xdr:rowOff>95249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565173" y="19167231"/>
          <a:ext cx="1289538" cy="285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ภ.2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(ไตรมาส 1- 2)</a:t>
          </a:r>
        </a:p>
        <a:p>
          <a:pPr algn="ctr"/>
          <a:endParaRPr lang="th-TH" sz="1100"/>
        </a:p>
      </xdr:txBody>
    </xdr:sp>
    <xdr:clientData/>
  </xdr:twoCellAnchor>
  <xdr:twoCellAnchor>
    <xdr:from>
      <xdr:col>18</xdr:col>
      <xdr:colOff>58616</xdr:colOff>
      <xdr:row>131</xdr:row>
      <xdr:rowOff>139211</xdr:rowOff>
    </xdr:from>
    <xdr:to>
      <xdr:col>20</xdr:col>
      <xdr:colOff>439618</xdr:colOff>
      <xdr:row>133</xdr:row>
      <xdr:rowOff>102578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550520" y="25512346"/>
          <a:ext cx="1289540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ภ.3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(ไตรมาส 1- 2)</a:t>
          </a:r>
        </a:p>
        <a:p>
          <a:pPr algn="ctr"/>
          <a:endParaRPr lang="th-TH" sz="1100"/>
        </a:p>
      </xdr:txBody>
    </xdr:sp>
    <xdr:clientData/>
  </xdr:twoCellAnchor>
  <xdr:twoCellAnchor>
    <xdr:from>
      <xdr:col>18</xdr:col>
      <xdr:colOff>0</xdr:colOff>
      <xdr:row>164</xdr:row>
      <xdr:rowOff>102577</xdr:rowOff>
    </xdr:from>
    <xdr:to>
      <xdr:col>20</xdr:col>
      <xdr:colOff>439617</xdr:colOff>
      <xdr:row>166</xdr:row>
      <xdr:rowOff>51288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491904" y="31813500"/>
          <a:ext cx="1348155" cy="2710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ภ.4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(ไตรมาส 1- 2)</a:t>
          </a:r>
        </a:p>
        <a:p>
          <a:pPr algn="ctr"/>
          <a:endParaRPr lang="th-TH" sz="1100"/>
        </a:p>
      </xdr:txBody>
    </xdr:sp>
    <xdr:clientData/>
  </xdr:twoCellAnchor>
  <xdr:twoCellAnchor>
    <xdr:from>
      <xdr:col>18</xdr:col>
      <xdr:colOff>80597</xdr:colOff>
      <xdr:row>197</xdr:row>
      <xdr:rowOff>175846</xdr:rowOff>
    </xdr:from>
    <xdr:to>
      <xdr:col>20</xdr:col>
      <xdr:colOff>468925</xdr:colOff>
      <xdr:row>199</xdr:row>
      <xdr:rowOff>87923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572501" y="38217231"/>
          <a:ext cx="1296866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ภ.5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(ไตรมาส 1- 2)</a:t>
          </a:r>
        </a:p>
        <a:p>
          <a:pPr algn="ctr"/>
          <a:endParaRPr lang="th-TH" sz="1100"/>
        </a:p>
      </xdr:txBody>
    </xdr:sp>
    <xdr:clientData/>
  </xdr:twoCellAnchor>
  <xdr:twoCellAnchor>
    <xdr:from>
      <xdr:col>18</xdr:col>
      <xdr:colOff>51288</xdr:colOff>
      <xdr:row>231</xdr:row>
      <xdr:rowOff>46403</xdr:rowOff>
    </xdr:from>
    <xdr:to>
      <xdr:col>20</xdr:col>
      <xdr:colOff>461597</xdr:colOff>
      <xdr:row>233</xdr:row>
      <xdr:rowOff>24423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465038" y="43940778"/>
          <a:ext cx="1315184" cy="295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ภ.6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(ไตรมาส 1- 2)</a:t>
          </a:r>
        </a:p>
        <a:p>
          <a:pPr algn="ctr"/>
          <a:endParaRPr lang="th-TH" sz="1100"/>
        </a:p>
      </xdr:txBody>
    </xdr:sp>
    <xdr:clientData/>
  </xdr:twoCellAnchor>
  <xdr:twoCellAnchor>
    <xdr:from>
      <xdr:col>18</xdr:col>
      <xdr:colOff>36635</xdr:colOff>
      <xdr:row>264</xdr:row>
      <xdr:rowOff>109904</xdr:rowOff>
    </xdr:from>
    <xdr:to>
      <xdr:col>20</xdr:col>
      <xdr:colOff>476251</xdr:colOff>
      <xdr:row>266</xdr:row>
      <xdr:rowOff>87923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528539" y="50878154"/>
          <a:ext cx="1348154" cy="3004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ภ.7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(ไตรมาส 1- 2)</a:t>
          </a:r>
        </a:p>
        <a:p>
          <a:pPr algn="ctr"/>
          <a:endParaRPr lang="th-TH" sz="1100"/>
        </a:p>
      </xdr:txBody>
    </xdr:sp>
    <xdr:clientData/>
  </xdr:twoCellAnchor>
  <xdr:twoCellAnchor>
    <xdr:from>
      <xdr:col>17</xdr:col>
      <xdr:colOff>542194</xdr:colOff>
      <xdr:row>298</xdr:row>
      <xdr:rowOff>131885</xdr:rowOff>
    </xdr:from>
    <xdr:to>
      <xdr:col>20</xdr:col>
      <xdr:colOff>417636</xdr:colOff>
      <xdr:row>300</xdr:row>
      <xdr:rowOff>131884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403982" y="57237923"/>
          <a:ext cx="1414096" cy="3223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ภ.8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(ไตรมาส 1- 2)</a:t>
          </a:r>
        </a:p>
        <a:p>
          <a:pPr algn="ctr"/>
          <a:endParaRPr lang="th-TH" sz="1100"/>
        </a:p>
      </xdr:txBody>
    </xdr:sp>
    <xdr:clientData/>
  </xdr:twoCellAnchor>
  <xdr:twoCellAnchor>
    <xdr:from>
      <xdr:col>17</xdr:col>
      <xdr:colOff>615462</xdr:colOff>
      <xdr:row>333</xdr:row>
      <xdr:rowOff>21980</xdr:rowOff>
    </xdr:from>
    <xdr:to>
      <xdr:col>20</xdr:col>
      <xdr:colOff>454271</xdr:colOff>
      <xdr:row>334</xdr:row>
      <xdr:rowOff>117230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477250" y="63626999"/>
          <a:ext cx="1377463" cy="2564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ภ.9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(ไตรมาส 1- 2)</a:t>
          </a:r>
        </a:p>
        <a:p>
          <a:pPr algn="ctr"/>
          <a:endParaRPr lang="th-TH" sz="1100"/>
        </a:p>
      </xdr:txBody>
    </xdr:sp>
    <xdr:clientData/>
  </xdr:twoCellAnchor>
  <xdr:twoCellAnchor>
    <xdr:from>
      <xdr:col>17</xdr:col>
      <xdr:colOff>351693</xdr:colOff>
      <xdr:row>366</xdr:row>
      <xdr:rowOff>146540</xdr:rowOff>
    </xdr:from>
    <xdr:to>
      <xdr:col>20</xdr:col>
      <xdr:colOff>476251</xdr:colOff>
      <xdr:row>368</xdr:row>
      <xdr:rowOff>95251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213481" y="69928155"/>
          <a:ext cx="1663212" cy="2710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100"/>
            <a:t>บช.ก.(รฟ.) ไตรมาส 1-2</a:t>
          </a:r>
        </a:p>
      </xdr:txBody>
    </xdr:sp>
    <xdr:clientData/>
  </xdr:twoCellAnchor>
  <xdr:twoCellAnchor>
    <xdr:from>
      <xdr:col>17</xdr:col>
      <xdr:colOff>65942</xdr:colOff>
      <xdr:row>399</xdr:row>
      <xdr:rowOff>21981</xdr:rowOff>
    </xdr:from>
    <xdr:to>
      <xdr:col>20</xdr:col>
      <xdr:colOff>490904</xdr:colOff>
      <xdr:row>400</xdr:row>
      <xdr:rowOff>117233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905750" y="76251289"/>
          <a:ext cx="1941635" cy="2564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รพ.ตร.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(ไตรมาส 1- 2)</a:t>
          </a:r>
        </a:p>
        <a:p>
          <a:pPr algn="ctr"/>
          <a:endParaRPr lang="th-TH" sz="1100"/>
        </a:p>
      </xdr:txBody>
    </xdr:sp>
    <xdr:clientData/>
  </xdr:twoCellAnchor>
  <xdr:twoCellAnchor>
    <xdr:from>
      <xdr:col>17</xdr:col>
      <xdr:colOff>131885</xdr:colOff>
      <xdr:row>434</xdr:row>
      <xdr:rowOff>124559</xdr:rowOff>
    </xdr:from>
    <xdr:to>
      <xdr:col>20</xdr:col>
      <xdr:colOff>476250</xdr:colOff>
      <xdr:row>436</xdr:row>
      <xdr:rowOff>80598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93673" y="82611059"/>
          <a:ext cx="1883019" cy="278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/>
            <a:t>สยศ.ตร.(ผอ.)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ไตรมาส 1- 2</a:t>
          </a:r>
        </a:p>
        <a:p>
          <a:pPr algn="ctr"/>
          <a:endParaRPr lang="th-TH" sz="1100"/>
        </a:p>
      </xdr:txBody>
    </xdr:sp>
    <xdr:clientData/>
  </xdr:twoCellAnchor>
  <xdr:twoCellAnchor>
    <xdr:from>
      <xdr:col>22</xdr:col>
      <xdr:colOff>65942</xdr:colOff>
      <xdr:row>23</xdr:row>
      <xdr:rowOff>212481</xdr:rowOff>
    </xdr:from>
    <xdr:to>
      <xdr:col>25</xdr:col>
      <xdr:colOff>298205</xdr:colOff>
      <xdr:row>28</xdr:row>
      <xdr:rowOff>213214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0484827" y="4550019"/>
          <a:ext cx="1954090" cy="12463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           </a:t>
          </a:r>
        </a:p>
      </xdr:txBody>
    </xdr:sp>
    <xdr:clientData/>
  </xdr:twoCellAnchor>
  <xdr:twoCellAnchor>
    <xdr:from>
      <xdr:col>24</xdr:col>
      <xdr:colOff>381000</xdr:colOff>
      <xdr:row>20</xdr:row>
      <xdr:rowOff>190500</xdr:rowOff>
    </xdr:from>
    <xdr:to>
      <xdr:col>27</xdr:col>
      <xdr:colOff>532667</xdr:colOff>
      <xdr:row>25</xdr:row>
      <xdr:rowOff>191233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1913577" y="3780692"/>
          <a:ext cx="1976071" cy="12463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A442"/>
  <sheetViews>
    <sheetView tabSelected="1" view="pageBreakPreview" topLeftCell="A388" zoomScale="60" zoomScaleNormal="130" workbookViewId="0">
      <selection activeCell="M423" sqref="M423"/>
    </sheetView>
  </sheetViews>
  <sheetFormatPr defaultRowHeight="15" x14ac:dyDescent="0.35"/>
  <cols>
    <col min="1" max="1" width="11.7109375" style="7" customWidth="1"/>
    <col min="2" max="2" width="4.7109375" style="7" customWidth="1"/>
    <col min="3" max="3" width="5.7109375" style="7" customWidth="1"/>
    <col min="4" max="4" width="4.5703125" style="7" customWidth="1"/>
    <col min="5" max="5" width="5.5703125" style="7" customWidth="1"/>
    <col min="6" max="6" width="4.5703125" style="7" customWidth="1"/>
    <col min="7" max="7" width="4.28515625" style="7" customWidth="1"/>
    <col min="8" max="9" width="7.85546875" style="7" customWidth="1"/>
    <col min="10" max="10" width="8.140625" style="7" customWidth="1"/>
    <col min="11" max="11" width="8.7109375" style="7" customWidth="1"/>
    <col min="12" max="14" width="7.5703125" style="7" customWidth="1"/>
    <col min="15" max="15" width="7" style="7" customWidth="1"/>
    <col min="16" max="16" width="6.85546875" style="7" customWidth="1"/>
    <col min="17" max="17" width="7" style="7" customWidth="1"/>
    <col min="18" max="18" width="9.140625" style="7" customWidth="1"/>
    <col min="19" max="19" width="7.5703125" style="7" customWidth="1"/>
    <col min="20" max="20" width="6" style="7" customWidth="1"/>
    <col min="21" max="21" width="7.42578125" style="7" customWidth="1"/>
    <col min="22" max="22" width="8.42578125" style="7" customWidth="1"/>
    <col min="23" max="23" width="8.7109375" style="7" customWidth="1"/>
    <col min="24" max="24" width="8" style="7" customWidth="1"/>
    <col min="25" max="16384" width="9.140625" style="7"/>
  </cols>
  <sheetData>
    <row r="1" spans="1:24" x14ac:dyDescent="0.35">
      <c r="A1" s="8" t="s">
        <v>165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4" ht="24" x14ac:dyDescent="0.55000000000000004">
      <c r="A2" s="1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4" x14ac:dyDescent="0.35">
      <c r="A3" s="10" t="s">
        <v>0</v>
      </c>
      <c r="B3" s="11" t="s">
        <v>46</v>
      </c>
      <c r="C3" s="11" t="s">
        <v>26</v>
      </c>
      <c r="D3" s="11" t="s">
        <v>46</v>
      </c>
      <c r="E3" s="11" t="s">
        <v>28</v>
      </c>
      <c r="F3" s="11" t="s">
        <v>43</v>
      </c>
      <c r="G3" s="11" t="s">
        <v>43</v>
      </c>
      <c r="H3" s="11" t="s">
        <v>14</v>
      </c>
      <c r="I3" s="11" t="s">
        <v>138</v>
      </c>
      <c r="J3" s="11" t="s">
        <v>30</v>
      </c>
      <c r="K3" s="11" t="s">
        <v>135</v>
      </c>
      <c r="L3" s="11" t="s">
        <v>13</v>
      </c>
      <c r="M3" s="11" t="s">
        <v>13</v>
      </c>
      <c r="N3" s="11" t="s">
        <v>31</v>
      </c>
      <c r="O3" s="11" t="s">
        <v>33</v>
      </c>
      <c r="P3" s="11" t="s">
        <v>33</v>
      </c>
      <c r="Q3" s="11" t="s">
        <v>163</v>
      </c>
      <c r="R3" s="11" t="s">
        <v>35</v>
      </c>
      <c r="S3" s="12" t="s">
        <v>37</v>
      </c>
      <c r="T3" s="11" t="s">
        <v>39</v>
      </c>
      <c r="U3" s="11" t="s">
        <v>41</v>
      </c>
    </row>
    <row r="4" spans="1:24" ht="15.75" thickBot="1" x14ac:dyDescent="0.4">
      <c r="A4" s="13"/>
      <c r="B4" s="14" t="s">
        <v>48</v>
      </c>
      <c r="C4" s="14" t="s">
        <v>27</v>
      </c>
      <c r="D4" s="14" t="s">
        <v>47</v>
      </c>
      <c r="E4" s="14" t="s">
        <v>29</v>
      </c>
      <c r="F4" s="14" t="s">
        <v>44</v>
      </c>
      <c r="G4" s="14" t="s">
        <v>45</v>
      </c>
      <c r="H4" s="15" t="s">
        <v>137</v>
      </c>
      <c r="I4" s="14" t="s">
        <v>139</v>
      </c>
      <c r="J4" s="14" t="s">
        <v>145</v>
      </c>
      <c r="K4" s="14" t="s">
        <v>136</v>
      </c>
      <c r="L4" s="14" t="s">
        <v>134</v>
      </c>
      <c r="M4" s="14" t="s">
        <v>152</v>
      </c>
      <c r="N4" s="14" t="s">
        <v>32</v>
      </c>
      <c r="O4" s="14" t="s">
        <v>34</v>
      </c>
      <c r="P4" s="14" t="s">
        <v>133</v>
      </c>
      <c r="Q4" s="16" t="s">
        <v>143</v>
      </c>
      <c r="R4" s="14" t="s">
        <v>36</v>
      </c>
      <c r="S4" s="17" t="s">
        <v>38</v>
      </c>
      <c r="T4" s="14" t="s">
        <v>40</v>
      </c>
      <c r="U4" s="14" t="s">
        <v>42</v>
      </c>
      <c r="W4" s="18"/>
      <c r="X4" s="18"/>
    </row>
    <row r="5" spans="1:24" ht="15.75" thickBot="1" x14ac:dyDescent="0.4">
      <c r="A5" s="19" t="s">
        <v>12</v>
      </c>
      <c r="B5" s="20"/>
      <c r="C5" s="20"/>
      <c r="D5" s="20"/>
      <c r="E5" s="20"/>
      <c r="F5" s="20"/>
      <c r="G5" s="20"/>
      <c r="H5" s="21">
        <f>H6+H7+H8+H9+H10+H11+H12+H13+H14+H15+H16+H17+H18</f>
        <v>2486400</v>
      </c>
      <c r="I5" s="21">
        <f>I6+I7+I8+I9+I10+I11+I12+I13+I14+I15+I16+I17+I18</f>
        <v>11592000</v>
      </c>
      <c r="J5" s="21">
        <f>J6+J7+J8+J9+J10+J11+J12+J13+J14+J15+J16+J17+J18</f>
        <v>38253200</v>
      </c>
      <c r="K5" s="21">
        <f>K6+K7+K8+K9+K10+K11+K12+K13+K14+K15+K16+K17+K18</f>
        <v>2640650</v>
      </c>
      <c r="L5" s="21">
        <f>L6+L7+L8+L9+L10+L11+L12+L13+L14+L15+L16+L17+L18</f>
        <v>27650</v>
      </c>
      <c r="M5" s="21">
        <f>M18</f>
        <v>0</v>
      </c>
      <c r="N5" s="22"/>
      <c r="O5" s="21">
        <f>O6+O7+O8+O9+O10+O11+O12+O13+O14+O15+O16+O17+O18</f>
        <v>30700</v>
      </c>
      <c r="P5" s="21">
        <f>P6+P7+P8+P9+P10+P11+P12+P13+P14+P15+P16+P17+P18</f>
        <v>3951000</v>
      </c>
      <c r="Q5" s="21">
        <f>Q18</f>
        <v>400000</v>
      </c>
      <c r="R5" s="20"/>
      <c r="S5" s="20"/>
      <c r="T5" s="20"/>
      <c r="U5" s="23">
        <f>SUM(B5:T5)</f>
        <v>59381600</v>
      </c>
    </row>
    <row r="6" spans="1:24" x14ac:dyDescent="0.35">
      <c r="A6" s="24" t="s">
        <v>1</v>
      </c>
      <c r="B6" s="25"/>
      <c r="C6" s="25"/>
      <c r="D6" s="25"/>
      <c r="E6" s="25"/>
      <c r="F6" s="25"/>
      <c r="G6" s="25"/>
      <c r="H6" s="25">
        <f>H36</f>
        <v>2464000</v>
      </c>
      <c r="I6" s="25">
        <f>I36</f>
        <v>1776000</v>
      </c>
      <c r="J6" s="25">
        <f>J36</f>
        <v>100000</v>
      </c>
      <c r="K6" s="25"/>
      <c r="L6" s="25"/>
      <c r="M6" s="25"/>
      <c r="N6" s="25"/>
      <c r="O6" s="25"/>
      <c r="P6" s="25"/>
      <c r="Q6" s="26"/>
      <c r="R6" s="25"/>
      <c r="S6" s="25"/>
      <c r="T6" s="25"/>
      <c r="U6" s="27">
        <f t="shared" ref="U6:U17" si="0">H6+I6+J6+N6</f>
        <v>4340000</v>
      </c>
    </row>
    <row r="7" spans="1:24" x14ac:dyDescent="0.35">
      <c r="A7" s="28" t="s">
        <v>2</v>
      </c>
      <c r="B7" s="29"/>
      <c r="C7" s="29"/>
      <c r="D7" s="29"/>
      <c r="E7" s="29"/>
      <c r="F7" s="29"/>
      <c r="G7" s="29"/>
      <c r="H7" s="29">
        <f>H70</f>
        <v>0</v>
      </c>
      <c r="I7" s="29">
        <f>I70</f>
        <v>1464000</v>
      </c>
      <c r="J7" s="25">
        <f>J70</f>
        <v>3611200</v>
      </c>
      <c r="K7" s="29"/>
      <c r="L7" s="29"/>
      <c r="M7" s="29"/>
      <c r="N7" s="29"/>
      <c r="O7" s="29"/>
      <c r="P7" s="29"/>
      <c r="Q7" s="26"/>
      <c r="R7" s="29"/>
      <c r="S7" s="29"/>
      <c r="T7" s="29"/>
      <c r="U7" s="27">
        <f t="shared" si="0"/>
        <v>5075200</v>
      </c>
    </row>
    <row r="8" spans="1:24" x14ac:dyDescent="0.35">
      <c r="A8" s="28" t="s">
        <v>3</v>
      </c>
      <c r="B8" s="29"/>
      <c r="C8" s="29"/>
      <c r="D8" s="29"/>
      <c r="E8" s="29"/>
      <c r="F8" s="29"/>
      <c r="G8" s="29"/>
      <c r="H8" s="29">
        <f>H103</f>
        <v>0</v>
      </c>
      <c r="I8" s="29">
        <f>I103</f>
        <v>1272000</v>
      </c>
      <c r="J8" s="25">
        <f>J103</f>
        <v>3270800</v>
      </c>
      <c r="K8" s="29"/>
      <c r="L8" s="29"/>
      <c r="M8" s="29"/>
      <c r="N8" s="29"/>
      <c r="O8" s="29"/>
      <c r="P8" s="29"/>
      <c r="Q8" s="26"/>
      <c r="R8" s="29"/>
      <c r="S8" s="29"/>
      <c r="T8" s="30"/>
      <c r="U8" s="27">
        <f t="shared" si="0"/>
        <v>4542800</v>
      </c>
    </row>
    <row r="9" spans="1:24" x14ac:dyDescent="0.35">
      <c r="A9" s="28" t="s">
        <v>4</v>
      </c>
      <c r="B9" s="29"/>
      <c r="C9" s="29"/>
      <c r="D9" s="29"/>
      <c r="E9" s="29"/>
      <c r="F9" s="29"/>
      <c r="G9" s="29"/>
      <c r="H9" s="29">
        <f>H137</f>
        <v>0</v>
      </c>
      <c r="I9" s="29">
        <f>I137</f>
        <v>792000</v>
      </c>
      <c r="J9" s="25">
        <f>J137</f>
        <v>6317200</v>
      </c>
      <c r="K9" s="29"/>
      <c r="L9" s="29"/>
      <c r="M9" s="29"/>
      <c r="N9" s="29"/>
      <c r="O9" s="29"/>
      <c r="P9" s="29"/>
      <c r="Q9" s="26"/>
      <c r="R9" s="29"/>
      <c r="S9" s="29"/>
      <c r="T9" s="29"/>
      <c r="U9" s="27">
        <f t="shared" si="0"/>
        <v>7109200</v>
      </c>
    </row>
    <row r="10" spans="1:24" x14ac:dyDescent="0.35">
      <c r="A10" s="28" t="s">
        <v>5</v>
      </c>
      <c r="B10" s="29"/>
      <c r="C10" s="29"/>
      <c r="D10" s="29"/>
      <c r="E10" s="29"/>
      <c r="F10" s="29"/>
      <c r="G10" s="29"/>
      <c r="H10" s="29">
        <f>H170</f>
        <v>0</v>
      </c>
      <c r="I10" s="29">
        <f>I170</f>
        <v>1104000</v>
      </c>
      <c r="J10" s="25">
        <f>J170</f>
        <v>6771600</v>
      </c>
      <c r="K10" s="29"/>
      <c r="L10" s="29"/>
      <c r="M10" s="29"/>
      <c r="N10" s="29"/>
      <c r="O10" s="29"/>
      <c r="P10" s="29"/>
      <c r="Q10" s="26"/>
      <c r="R10" s="29"/>
      <c r="S10" s="29"/>
      <c r="T10" s="29"/>
      <c r="U10" s="27">
        <f t="shared" si="0"/>
        <v>7875600</v>
      </c>
    </row>
    <row r="11" spans="1:24" x14ac:dyDescent="0.35">
      <c r="A11" s="28" t="s">
        <v>6</v>
      </c>
      <c r="B11" s="29"/>
      <c r="C11" s="29"/>
      <c r="D11" s="29"/>
      <c r="E11" s="29"/>
      <c r="F11" s="29"/>
      <c r="G11" s="29"/>
      <c r="H11" s="29">
        <f>H203</f>
        <v>0</v>
      </c>
      <c r="I11" s="29">
        <f>I203</f>
        <v>888000</v>
      </c>
      <c r="J11" s="25">
        <f>J203</f>
        <v>4323600</v>
      </c>
      <c r="K11" s="29"/>
      <c r="L11" s="29"/>
      <c r="M11" s="29"/>
      <c r="N11" s="29"/>
      <c r="O11" s="29"/>
      <c r="P11" s="29"/>
      <c r="Q11" s="26"/>
      <c r="R11" s="29"/>
      <c r="S11" s="29"/>
      <c r="T11" s="29"/>
      <c r="U11" s="27">
        <f t="shared" si="0"/>
        <v>5211600</v>
      </c>
    </row>
    <row r="12" spans="1:24" x14ac:dyDescent="0.35">
      <c r="A12" s="28" t="s">
        <v>7</v>
      </c>
      <c r="B12" s="29"/>
      <c r="C12" s="29"/>
      <c r="D12" s="29"/>
      <c r="E12" s="29"/>
      <c r="F12" s="29"/>
      <c r="G12" s="29"/>
      <c r="H12" s="29">
        <f>H236</f>
        <v>0</v>
      </c>
      <c r="I12" s="29">
        <f>I236</f>
        <v>600000</v>
      </c>
      <c r="J12" s="25">
        <f>J236</f>
        <v>4003200</v>
      </c>
      <c r="K12" s="29"/>
      <c r="L12" s="29"/>
      <c r="M12" s="29"/>
      <c r="N12" s="29"/>
      <c r="O12" s="29"/>
      <c r="P12" s="29"/>
      <c r="Q12" s="26"/>
      <c r="R12" s="29"/>
      <c r="S12" s="29"/>
      <c r="T12" s="29"/>
      <c r="U12" s="27">
        <f t="shared" si="0"/>
        <v>4603200</v>
      </c>
    </row>
    <row r="13" spans="1:24" x14ac:dyDescent="0.35">
      <c r="A13" s="28" t="s">
        <v>8</v>
      </c>
      <c r="B13" s="29"/>
      <c r="C13" s="29"/>
      <c r="D13" s="29"/>
      <c r="E13" s="29"/>
      <c r="F13" s="29"/>
      <c r="G13" s="29"/>
      <c r="H13" s="29">
        <f>H270</f>
        <v>0</v>
      </c>
      <c r="I13" s="29">
        <f>I270</f>
        <v>1344000</v>
      </c>
      <c r="J13" s="25">
        <f>J270</f>
        <v>2946000</v>
      </c>
      <c r="K13" s="29"/>
      <c r="L13" s="29"/>
      <c r="M13" s="29"/>
      <c r="N13" s="29"/>
      <c r="O13" s="29"/>
      <c r="P13" s="29"/>
      <c r="Q13" s="26"/>
      <c r="R13" s="29"/>
      <c r="S13" s="29"/>
      <c r="T13" s="29"/>
      <c r="U13" s="27">
        <f t="shared" si="0"/>
        <v>4290000</v>
      </c>
    </row>
    <row r="14" spans="1:24" x14ac:dyDescent="0.35">
      <c r="A14" s="28" t="s">
        <v>9</v>
      </c>
      <c r="B14" s="29"/>
      <c r="C14" s="29"/>
      <c r="D14" s="29"/>
      <c r="E14" s="29"/>
      <c r="F14" s="29"/>
      <c r="G14" s="29"/>
      <c r="H14" s="29">
        <f>H304</f>
        <v>0</v>
      </c>
      <c r="I14" s="29">
        <f>I304</f>
        <v>936000</v>
      </c>
      <c r="J14" s="25">
        <f>J304</f>
        <v>3350400</v>
      </c>
      <c r="K14" s="29"/>
      <c r="L14" s="29"/>
      <c r="M14" s="29"/>
      <c r="N14" s="29"/>
      <c r="O14" s="29"/>
      <c r="P14" s="29"/>
      <c r="Q14" s="26"/>
      <c r="R14" s="29"/>
      <c r="S14" s="29"/>
      <c r="T14" s="29"/>
      <c r="U14" s="27">
        <f t="shared" si="0"/>
        <v>4286400</v>
      </c>
    </row>
    <row r="15" spans="1:24" x14ac:dyDescent="0.35">
      <c r="A15" s="28" t="s">
        <v>10</v>
      </c>
      <c r="B15" s="29"/>
      <c r="C15" s="29"/>
      <c r="D15" s="29"/>
      <c r="E15" s="29"/>
      <c r="F15" s="29"/>
      <c r="G15" s="29"/>
      <c r="H15" s="29">
        <f>H338</f>
        <v>0</v>
      </c>
      <c r="I15" s="29">
        <f>I338</f>
        <v>1416000</v>
      </c>
      <c r="J15" s="29">
        <f>J338</f>
        <v>3339200</v>
      </c>
      <c r="K15" s="29"/>
      <c r="L15" s="29"/>
      <c r="M15" s="29"/>
      <c r="N15" s="29"/>
      <c r="O15" s="29"/>
      <c r="P15" s="29"/>
      <c r="Q15" s="31"/>
      <c r="R15" s="29"/>
      <c r="S15" s="29"/>
      <c r="T15" s="29"/>
      <c r="U15" s="27">
        <f t="shared" si="0"/>
        <v>4755200</v>
      </c>
    </row>
    <row r="16" spans="1:24" x14ac:dyDescent="0.35">
      <c r="A16" s="28" t="s">
        <v>132</v>
      </c>
      <c r="B16" s="29"/>
      <c r="C16" s="29"/>
      <c r="D16" s="29"/>
      <c r="E16" s="29"/>
      <c r="F16" s="29"/>
      <c r="G16" s="29"/>
      <c r="H16" s="29">
        <f>H372</f>
        <v>22400</v>
      </c>
      <c r="I16" s="29">
        <f>I372</f>
        <v>0</v>
      </c>
      <c r="J16" s="29">
        <f>J372</f>
        <v>0</v>
      </c>
      <c r="K16" s="29"/>
      <c r="L16" s="29"/>
      <c r="M16" s="29"/>
      <c r="N16" s="29"/>
      <c r="O16" s="29"/>
      <c r="P16" s="29"/>
      <c r="Q16" s="31"/>
      <c r="R16" s="29"/>
      <c r="S16" s="29"/>
      <c r="T16" s="29"/>
      <c r="U16" s="27">
        <f t="shared" si="0"/>
        <v>22400</v>
      </c>
    </row>
    <row r="17" spans="1:23" x14ac:dyDescent="0.35">
      <c r="A17" s="28" t="s">
        <v>11</v>
      </c>
      <c r="B17" s="29"/>
      <c r="C17" s="29"/>
      <c r="D17" s="29"/>
      <c r="E17" s="29"/>
      <c r="F17" s="29"/>
      <c r="G17" s="29"/>
      <c r="H17" s="29">
        <f>H404</f>
        <v>0</v>
      </c>
      <c r="I17" s="29">
        <f>I404</f>
        <v>0</v>
      </c>
      <c r="J17" s="29">
        <f>J404</f>
        <v>220000</v>
      </c>
      <c r="K17" s="29"/>
      <c r="L17" s="29"/>
      <c r="M17" s="29"/>
      <c r="N17" s="29"/>
      <c r="O17" s="29"/>
      <c r="P17" s="29"/>
      <c r="Q17" s="31"/>
      <c r="R17" s="29"/>
      <c r="S17" s="29"/>
      <c r="T17" s="29"/>
      <c r="U17" s="27">
        <f t="shared" si="0"/>
        <v>220000</v>
      </c>
      <c r="W17" s="18"/>
    </row>
    <row r="18" spans="1:23" s="36" customFormat="1" x14ac:dyDescent="0.35">
      <c r="A18" s="32" t="s">
        <v>142</v>
      </c>
      <c r="B18" s="33"/>
      <c r="C18" s="33"/>
      <c r="D18" s="33"/>
      <c r="E18" s="33"/>
      <c r="F18" s="33"/>
      <c r="G18" s="33"/>
      <c r="H18" s="33">
        <f>H440</f>
        <v>0</v>
      </c>
      <c r="I18" s="33">
        <f>I440</f>
        <v>0</v>
      </c>
      <c r="J18" s="33">
        <v>0</v>
      </c>
      <c r="K18" s="33">
        <v>2640650</v>
      </c>
      <c r="L18" s="33">
        <v>27650</v>
      </c>
      <c r="M18" s="33"/>
      <c r="N18" s="33"/>
      <c r="O18" s="33">
        <v>30700</v>
      </c>
      <c r="P18" s="33">
        <v>3951000</v>
      </c>
      <c r="Q18" s="33">
        <v>400000</v>
      </c>
      <c r="R18" s="34"/>
      <c r="S18" s="34"/>
      <c r="T18" s="34"/>
      <c r="U18" s="35">
        <f>SUM(B18:T18)</f>
        <v>7050000</v>
      </c>
    </row>
    <row r="19" spans="1:23" ht="21.75" x14ac:dyDescent="0.5">
      <c r="A19" s="2" t="s">
        <v>160</v>
      </c>
      <c r="B19" s="2"/>
      <c r="C19" s="2"/>
      <c r="D19" s="2"/>
      <c r="E19" s="2"/>
      <c r="F19" s="2"/>
      <c r="G19" s="2"/>
      <c r="H19" s="4"/>
      <c r="I19" s="2"/>
      <c r="J19" s="2"/>
      <c r="K19" s="2"/>
      <c r="L19" s="2"/>
      <c r="M19" s="2"/>
      <c r="N19" s="4"/>
      <c r="O19" s="2"/>
      <c r="P19" s="2"/>
      <c r="Q19" s="2"/>
      <c r="R19" s="2"/>
      <c r="S19" s="2"/>
      <c r="T19" s="2"/>
      <c r="U19" s="3"/>
    </row>
    <row r="20" spans="1:23" ht="21" x14ac:dyDescent="0.5">
      <c r="A20" s="5" t="s">
        <v>156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37"/>
    </row>
    <row r="21" spans="1:23" ht="21" x14ac:dyDescent="0.5">
      <c r="A21" s="5" t="s">
        <v>153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37"/>
    </row>
    <row r="22" spans="1:23" ht="21" x14ac:dyDescent="0.5">
      <c r="A22" s="5" t="s">
        <v>157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37"/>
      <c r="W22" s="18"/>
    </row>
    <row r="23" spans="1:23" ht="21" x14ac:dyDescent="0.5">
      <c r="A23" s="5" t="s">
        <v>154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37"/>
      <c r="W23" s="18"/>
    </row>
    <row r="24" spans="1:23" ht="21" x14ac:dyDescent="0.5">
      <c r="A24" s="5" t="s">
        <v>158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37"/>
    </row>
    <row r="25" spans="1:23" ht="21" x14ac:dyDescent="0.5">
      <c r="A25" s="5" t="s">
        <v>155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37"/>
    </row>
    <row r="26" spans="1:23" ht="21" x14ac:dyDescent="0.5">
      <c r="A26" s="5" t="s">
        <v>159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37"/>
    </row>
    <row r="27" spans="1:23" ht="21" x14ac:dyDescent="0.5">
      <c r="A27" s="5" t="s">
        <v>164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37"/>
    </row>
    <row r="28" spans="1:23" ht="21" x14ac:dyDescent="0.5">
      <c r="A28" s="5" t="s">
        <v>162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37"/>
    </row>
    <row r="29" spans="1:23" ht="21" x14ac:dyDescent="0.5">
      <c r="A29" s="5" t="s">
        <v>150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37"/>
    </row>
    <row r="30" spans="1:23" ht="21" x14ac:dyDescent="0.5">
      <c r="A30" s="5" t="s">
        <v>151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37"/>
    </row>
    <row r="31" spans="1:23" ht="21" x14ac:dyDescent="0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37"/>
    </row>
    <row r="32" spans="1:23" ht="16.5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5"/>
      <c r="T32" s="5"/>
      <c r="U32" s="5"/>
    </row>
    <row r="33" spans="1:25" x14ac:dyDescent="0.35">
      <c r="A33" s="7" t="s">
        <v>1</v>
      </c>
    </row>
    <row r="34" spans="1:25" x14ac:dyDescent="0.35">
      <c r="A34" s="10" t="s">
        <v>0</v>
      </c>
      <c r="B34" s="11" t="s">
        <v>46</v>
      </c>
      <c r="C34" s="11" t="s">
        <v>26</v>
      </c>
      <c r="D34" s="11" t="s">
        <v>46</v>
      </c>
      <c r="E34" s="11" t="s">
        <v>28</v>
      </c>
      <c r="F34" s="11" t="s">
        <v>43</v>
      </c>
      <c r="G34" s="11" t="s">
        <v>43</v>
      </c>
      <c r="H34" s="11" t="s">
        <v>14</v>
      </c>
      <c r="I34" s="11" t="s">
        <v>138</v>
      </c>
      <c r="J34" s="11" t="s">
        <v>30</v>
      </c>
      <c r="K34" s="11" t="s">
        <v>135</v>
      </c>
      <c r="L34" s="11" t="s">
        <v>13</v>
      </c>
      <c r="M34" s="11" t="s">
        <v>13</v>
      </c>
      <c r="N34" s="11" t="s">
        <v>31</v>
      </c>
      <c r="O34" s="11" t="s">
        <v>33</v>
      </c>
      <c r="P34" s="11" t="s">
        <v>33</v>
      </c>
      <c r="Q34" s="11" t="s">
        <v>144</v>
      </c>
      <c r="R34" s="11" t="s">
        <v>35</v>
      </c>
      <c r="S34" s="12" t="s">
        <v>37</v>
      </c>
      <c r="T34" s="11" t="s">
        <v>39</v>
      </c>
      <c r="U34" s="11" t="s">
        <v>41</v>
      </c>
    </row>
    <row r="35" spans="1:25" ht="15.75" thickBot="1" x14ac:dyDescent="0.4">
      <c r="A35" s="13"/>
      <c r="B35" s="14" t="s">
        <v>48</v>
      </c>
      <c r="C35" s="14" t="s">
        <v>27</v>
      </c>
      <c r="D35" s="14" t="s">
        <v>47</v>
      </c>
      <c r="E35" s="14" t="s">
        <v>29</v>
      </c>
      <c r="F35" s="14" t="s">
        <v>44</v>
      </c>
      <c r="G35" s="14" t="s">
        <v>45</v>
      </c>
      <c r="H35" s="15" t="s">
        <v>137</v>
      </c>
      <c r="I35" s="14" t="s">
        <v>139</v>
      </c>
      <c r="J35" s="14" t="s">
        <v>145</v>
      </c>
      <c r="K35" s="14" t="s">
        <v>136</v>
      </c>
      <c r="L35" s="14" t="s">
        <v>134</v>
      </c>
      <c r="M35" s="14" t="s">
        <v>152</v>
      </c>
      <c r="N35" s="14" t="s">
        <v>32</v>
      </c>
      <c r="O35" s="14" t="s">
        <v>34</v>
      </c>
      <c r="P35" s="14" t="s">
        <v>133</v>
      </c>
      <c r="Q35" s="16" t="s">
        <v>143</v>
      </c>
      <c r="R35" s="14" t="s">
        <v>36</v>
      </c>
      <c r="S35" s="17" t="s">
        <v>38</v>
      </c>
      <c r="T35" s="14" t="s">
        <v>40</v>
      </c>
      <c r="U35" s="14" t="s">
        <v>42</v>
      </c>
      <c r="V35" s="38"/>
      <c r="W35" s="38"/>
      <c r="X35" s="38"/>
      <c r="Y35" s="38"/>
    </row>
    <row r="36" spans="1:25" ht="15.75" thickBot="1" x14ac:dyDescent="0.4">
      <c r="A36" s="39" t="s">
        <v>16</v>
      </c>
      <c r="B36" s="40"/>
      <c r="C36" s="40"/>
      <c r="D36" s="40"/>
      <c r="E36" s="40"/>
      <c r="F36" s="40"/>
      <c r="G36" s="40"/>
      <c r="H36" s="41">
        <f>H38+H39+H40+H41+H42+H43+H44+H45+H46</f>
        <v>2464000</v>
      </c>
      <c r="I36" s="41">
        <f>I38+I39+I40+I41+I42+I43+I44+I45+I46</f>
        <v>1776000</v>
      </c>
      <c r="J36" s="41">
        <f>J37+J38+J39+J40+J41+J42+J43+J44+J45+J46</f>
        <v>100000</v>
      </c>
      <c r="K36" s="40"/>
      <c r="L36" s="40"/>
      <c r="M36" s="40"/>
      <c r="N36" s="41"/>
      <c r="O36" s="41"/>
      <c r="P36" s="40"/>
      <c r="Q36" s="40"/>
      <c r="R36" s="40"/>
      <c r="S36" s="40"/>
      <c r="T36" s="40"/>
      <c r="U36" s="41">
        <f>H36+I36+J36+N36+O36</f>
        <v>4340000</v>
      </c>
      <c r="V36" s="38"/>
      <c r="W36" s="38"/>
      <c r="X36" s="38"/>
      <c r="Y36" s="38"/>
    </row>
    <row r="37" spans="1:25" x14ac:dyDescent="0.35">
      <c r="A37" s="25" t="s">
        <v>1</v>
      </c>
      <c r="B37" s="25"/>
      <c r="C37" s="25"/>
      <c r="D37" s="25"/>
      <c r="E37" s="25"/>
      <c r="F37" s="25"/>
      <c r="G37" s="25"/>
      <c r="H37" s="42"/>
      <c r="I37" s="42"/>
      <c r="J37" s="25">
        <v>10000</v>
      </c>
      <c r="K37" s="25"/>
      <c r="L37" s="25"/>
      <c r="M37" s="25"/>
      <c r="N37" s="43"/>
      <c r="O37" s="43"/>
      <c r="P37" s="25"/>
      <c r="Q37" s="43"/>
      <c r="R37" s="25"/>
      <c r="S37" s="25"/>
      <c r="T37" s="25"/>
      <c r="U37" s="25">
        <f>H37+I37+J37+N37</f>
        <v>10000</v>
      </c>
      <c r="V37" s="44"/>
      <c r="W37" s="44"/>
      <c r="X37" s="44">
        <v>60000</v>
      </c>
      <c r="Y37" s="38"/>
    </row>
    <row r="38" spans="1:25" x14ac:dyDescent="0.35">
      <c r="A38" s="29" t="s">
        <v>49</v>
      </c>
      <c r="B38" s="29"/>
      <c r="C38" s="29"/>
      <c r="D38" s="29"/>
      <c r="E38" s="29"/>
      <c r="F38" s="29"/>
      <c r="G38" s="29"/>
      <c r="H38" s="29">
        <f>V38/2</f>
        <v>252000</v>
      </c>
      <c r="I38" s="29">
        <f>W38/2</f>
        <v>192000</v>
      </c>
      <c r="J38" s="25">
        <f t="shared" ref="J38:J46" si="1">X38/2</f>
        <v>10000</v>
      </c>
      <c r="K38" s="29"/>
      <c r="L38" s="29"/>
      <c r="M38" s="29"/>
      <c r="N38" s="29"/>
      <c r="O38" s="45"/>
      <c r="P38" s="29"/>
      <c r="Q38" s="29"/>
      <c r="R38" s="29"/>
      <c r="S38" s="29"/>
      <c r="T38" s="29"/>
      <c r="U38" s="29">
        <f>H38+I38+J38+N38+O38</f>
        <v>454000</v>
      </c>
      <c r="V38" s="44">
        <v>504000</v>
      </c>
      <c r="W38" s="44">
        <v>384000</v>
      </c>
      <c r="X38" s="44">
        <v>20000</v>
      </c>
      <c r="Y38" s="38"/>
    </row>
    <row r="39" spans="1:25" x14ac:dyDescent="0.35">
      <c r="A39" s="29" t="s">
        <v>50</v>
      </c>
      <c r="B39" s="29"/>
      <c r="C39" s="29"/>
      <c r="D39" s="29"/>
      <c r="E39" s="29"/>
      <c r="F39" s="29"/>
      <c r="G39" s="29"/>
      <c r="H39" s="29">
        <f t="shared" ref="H39:H46" si="2">V39/2</f>
        <v>308000</v>
      </c>
      <c r="I39" s="29">
        <f t="shared" ref="I39:I46" si="3">W39/2</f>
        <v>264000</v>
      </c>
      <c r="J39" s="25">
        <f t="shared" si="1"/>
        <v>10000</v>
      </c>
      <c r="K39" s="29"/>
      <c r="L39" s="29"/>
      <c r="M39" s="29"/>
      <c r="N39" s="29"/>
      <c r="O39" s="45"/>
      <c r="P39" s="29"/>
      <c r="Q39" s="29"/>
      <c r="R39" s="29"/>
      <c r="S39" s="29"/>
      <c r="T39" s="29"/>
      <c r="U39" s="29">
        <f t="shared" ref="U39:U46" si="4">H39+I39+J39+N39+O39</f>
        <v>582000</v>
      </c>
      <c r="V39" s="44">
        <v>616000</v>
      </c>
      <c r="W39" s="44">
        <v>528000</v>
      </c>
      <c r="X39" s="44">
        <v>20000</v>
      </c>
      <c r="Y39" s="38"/>
    </row>
    <row r="40" spans="1:25" x14ac:dyDescent="0.35">
      <c r="A40" s="29" t="s">
        <v>51</v>
      </c>
      <c r="B40" s="29"/>
      <c r="C40" s="29"/>
      <c r="D40" s="29"/>
      <c r="E40" s="29"/>
      <c r="F40" s="29"/>
      <c r="G40" s="29"/>
      <c r="H40" s="29">
        <f t="shared" si="2"/>
        <v>308000</v>
      </c>
      <c r="I40" s="29">
        <f t="shared" si="3"/>
        <v>192000</v>
      </c>
      <c r="J40" s="25">
        <f t="shared" si="1"/>
        <v>10000</v>
      </c>
      <c r="K40" s="29"/>
      <c r="L40" s="29"/>
      <c r="M40" s="29"/>
      <c r="N40" s="29"/>
      <c r="O40" s="45"/>
      <c r="P40" s="29"/>
      <c r="Q40" s="29"/>
      <c r="R40" s="29"/>
      <c r="S40" s="29"/>
      <c r="T40" s="29"/>
      <c r="U40" s="29">
        <f t="shared" si="4"/>
        <v>510000</v>
      </c>
      <c r="V40" s="44">
        <v>616000</v>
      </c>
      <c r="W40" s="44">
        <v>384000</v>
      </c>
      <c r="X40" s="44">
        <v>20000</v>
      </c>
      <c r="Y40" s="38"/>
    </row>
    <row r="41" spans="1:25" x14ac:dyDescent="0.35">
      <c r="A41" s="29" t="s">
        <v>52</v>
      </c>
      <c r="B41" s="29"/>
      <c r="C41" s="29"/>
      <c r="D41" s="29"/>
      <c r="E41" s="29"/>
      <c r="F41" s="29"/>
      <c r="G41" s="29"/>
      <c r="H41" s="29">
        <f t="shared" si="2"/>
        <v>224000</v>
      </c>
      <c r="I41" s="29">
        <f t="shared" si="3"/>
        <v>192000</v>
      </c>
      <c r="J41" s="25">
        <f t="shared" si="1"/>
        <v>10000</v>
      </c>
      <c r="K41" s="29"/>
      <c r="L41" s="29"/>
      <c r="M41" s="29"/>
      <c r="N41" s="29"/>
      <c r="O41" s="45"/>
      <c r="P41" s="29"/>
      <c r="Q41" s="29"/>
      <c r="R41" s="29"/>
      <c r="S41" s="29"/>
      <c r="T41" s="29"/>
      <c r="U41" s="29">
        <f t="shared" si="4"/>
        <v>426000</v>
      </c>
      <c r="V41" s="44">
        <v>448000</v>
      </c>
      <c r="W41" s="44">
        <v>384000</v>
      </c>
      <c r="X41" s="44">
        <v>20000</v>
      </c>
      <c r="Y41" s="38"/>
    </row>
    <row r="42" spans="1:25" x14ac:dyDescent="0.35">
      <c r="A42" s="29" t="s">
        <v>53</v>
      </c>
      <c r="B42" s="29"/>
      <c r="C42" s="29"/>
      <c r="D42" s="29"/>
      <c r="E42" s="29"/>
      <c r="F42" s="29"/>
      <c r="G42" s="29"/>
      <c r="H42" s="29">
        <f t="shared" si="2"/>
        <v>252000</v>
      </c>
      <c r="I42" s="29">
        <f t="shared" si="3"/>
        <v>216000</v>
      </c>
      <c r="J42" s="25">
        <f t="shared" si="1"/>
        <v>10000</v>
      </c>
      <c r="K42" s="29"/>
      <c r="L42" s="29"/>
      <c r="M42" s="29"/>
      <c r="N42" s="29"/>
      <c r="O42" s="45"/>
      <c r="P42" s="29"/>
      <c r="Q42" s="29"/>
      <c r="R42" s="29"/>
      <c r="S42" s="29"/>
      <c r="T42" s="29"/>
      <c r="U42" s="29">
        <f t="shared" si="4"/>
        <v>478000</v>
      </c>
      <c r="V42" s="44">
        <v>504000</v>
      </c>
      <c r="W42" s="44">
        <v>432000</v>
      </c>
      <c r="X42" s="44">
        <v>20000</v>
      </c>
      <c r="Y42" s="38"/>
    </row>
    <row r="43" spans="1:25" x14ac:dyDescent="0.35">
      <c r="A43" s="29" t="s">
        <v>54</v>
      </c>
      <c r="B43" s="29"/>
      <c r="C43" s="29"/>
      <c r="D43" s="29"/>
      <c r="E43" s="29"/>
      <c r="F43" s="29"/>
      <c r="G43" s="29"/>
      <c r="H43" s="29">
        <f t="shared" si="2"/>
        <v>224000</v>
      </c>
      <c r="I43" s="29">
        <f t="shared" si="3"/>
        <v>168000</v>
      </c>
      <c r="J43" s="25">
        <f t="shared" si="1"/>
        <v>10000</v>
      </c>
      <c r="K43" s="29"/>
      <c r="L43" s="29"/>
      <c r="M43" s="29"/>
      <c r="N43" s="29"/>
      <c r="O43" s="45"/>
      <c r="P43" s="29"/>
      <c r="Q43" s="29"/>
      <c r="R43" s="29"/>
      <c r="S43" s="29"/>
      <c r="T43" s="29"/>
      <c r="U43" s="29">
        <f t="shared" si="4"/>
        <v>402000</v>
      </c>
      <c r="V43" s="44">
        <v>448000</v>
      </c>
      <c r="W43" s="44">
        <v>336000</v>
      </c>
      <c r="X43" s="44">
        <v>20000</v>
      </c>
      <c r="Y43" s="38"/>
    </row>
    <row r="44" spans="1:25" x14ac:dyDescent="0.35">
      <c r="A44" s="29" t="s">
        <v>55</v>
      </c>
      <c r="B44" s="29"/>
      <c r="C44" s="29"/>
      <c r="D44" s="29"/>
      <c r="E44" s="29"/>
      <c r="F44" s="29"/>
      <c r="G44" s="29"/>
      <c r="H44" s="29">
        <f t="shared" si="2"/>
        <v>308000</v>
      </c>
      <c r="I44" s="29">
        <f t="shared" si="3"/>
        <v>192000</v>
      </c>
      <c r="J44" s="25">
        <f t="shared" si="1"/>
        <v>10000</v>
      </c>
      <c r="K44" s="29"/>
      <c r="L44" s="29"/>
      <c r="M44" s="29"/>
      <c r="N44" s="29"/>
      <c r="O44" s="45"/>
      <c r="P44" s="29"/>
      <c r="Q44" s="29"/>
      <c r="R44" s="29"/>
      <c r="S44" s="29"/>
      <c r="T44" s="29"/>
      <c r="U44" s="29">
        <f t="shared" si="4"/>
        <v>510000</v>
      </c>
      <c r="V44" s="44">
        <v>616000</v>
      </c>
      <c r="W44" s="44">
        <v>384000</v>
      </c>
      <c r="X44" s="44">
        <v>20000</v>
      </c>
      <c r="Y44" s="38"/>
    </row>
    <row r="45" spans="1:25" x14ac:dyDescent="0.35">
      <c r="A45" s="29" t="s">
        <v>56</v>
      </c>
      <c r="B45" s="29"/>
      <c r="C45" s="29"/>
      <c r="D45" s="29"/>
      <c r="E45" s="29"/>
      <c r="F45" s="29"/>
      <c r="G45" s="29"/>
      <c r="H45" s="29">
        <f t="shared" si="2"/>
        <v>308000</v>
      </c>
      <c r="I45" s="29">
        <f t="shared" si="3"/>
        <v>168000</v>
      </c>
      <c r="J45" s="25">
        <f t="shared" si="1"/>
        <v>10000</v>
      </c>
      <c r="K45" s="29"/>
      <c r="L45" s="29"/>
      <c r="M45" s="29"/>
      <c r="N45" s="29"/>
      <c r="O45" s="45"/>
      <c r="P45" s="29"/>
      <c r="Q45" s="29"/>
      <c r="R45" s="29"/>
      <c r="S45" s="29"/>
      <c r="T45" s="29"/>
      <c r="U45" s="29">
        <f t="shared" si="4"/>
        <v>486000</v>
      </c>
      <c r="V45" s="44">
        <v>616000</v>
      </c>
      <c r="W45" s="44">
        <v>336000</v>
      </c>
      <c r="X45" s="44">
        <v>20000</v>
      </c>
      <c r="Y45" s="38"/>
    </row>
    <row r="46" spans="1:25" x14ac:dyDescent="0.35">
      <c r="A46" s="29" t="s">
        <v>57</v>
      </c>
      <c r="B46" s="29"/>
      <c r="C46" s="29"/>
      <c r="D46" s="29"/>
      <c r="E46" s="29"/>
      <c r="F46" s="29"/>
      <c r="G46" s="29"/>
      <c r="H46" s="29">
        <f t="shared" si="2"/>
        <v>280000</v>
      </c>
      <c r="I46" s="29">
        <f t="shared" si="3"/>
        <v>192000</v>
      </c>
      <c r="J46" s="25">
        <f t="shared" si="1"/>
        <v>10000</v>
      </c>
      <c r="K46" s="29"/>
      <c r="L46" s="29"/>
      <c r="M46" s="29"/>
      <c r="N46" s="29"/>
      <c r="O46" s="45"/>
      <c r="P46" s="29"/>
      <c r="Q46" s="29"/>
      <c r="R46" s="29"/>
      <c r="S46" s="29"/>
      <c r="T46" s="29"/>
      <c r="U46" s="29">
        <f t="shared" si="4"/>
        <v>482000</v>
      </c>
      <c r="V46" s="44">
        <v>560000</v>
      </c>
      <c r="W46" s="44">
        <v>384000</v>
      </c>
      <c r="X46" s="44">
        <v>20000</v>
      </c>
      <c r="Y46" s="38"/>
    </row>
    <row r="47" spans="1:25" x14ac:dyDescent="0.3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/>
      <c r="P47" s="46"/>
      <c r="Q47" s="46"/>
      <c r="R47" s="46"/>
      <c r="S47" s="46"/>
      <c r="T47" s="46"/>
      <c r="U47" s="46"/>
      <c r="V47" s="38"/>
      <c r="W47" s="38"/>
      <c r="X47" s="38"/>
      <c r="Y47" s="38"/>
    </row>
    <row r="48" spans="1:25" ht="21.75" x14ac:dyDescent="0.5">
      <c r="A48" s="2" t="s">
        <v>160</v>
      </c>
      <c r="B48" s="2"/>
      <c r="C48" s="2"/>
      <c r="D48" s="2"/>
      <c r="E48" s="2"/>
      <c r="F48" s="2"/>
      <c r="G48" s="2"/>
      <c r="H48" s="4"/>
      <c r="I48" s="2"/>
      <c r="J48" s="2"/>
      <c r="K48" s="2"/>
      <c r="L48" s="2"/>
      <c r="M48" s="2"/>
      <c r="N48" s="4"/>
      <c r="O48" s="2"/>
      <c r="P48" s="2"/>
      <c r="Q48" s="2"/>
      <c r="R48" s="2"/>
      <c r="S48" s="2"/>
      <c r="T48" s="2"/>
      <c r="U48" s="3"/>
      <c r="V48" s="38"/>
      <c r="W48" s="38"/>
      <c r="X48" s="38"/>
      <c r="Y48" s="38"/>
    </row>
    <row r="49" spans="1:25" ht="16.5" x14ac:dyDescent="0.4">
      <c r="A49" s="5" t="s">
        <v>156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38"/>
      <c r="W49" s="38"/>
      <c r="X49" s="38"/>
      <c r="Y49" s="38"/>
    </row>
    <row r="50" spans="1:25" ht="16.5" x14ac:dyDescent="0.4">
      <c r="A50" s="5" t="s">
        <v>153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38"/>
      <c r="W50" s="38"/>
      <c r="X50" s="38"/>
      <c r="Y50" s="38"/>
    </row>
    <row r="51" spans="1:25" ht="16.5" x14ac:dyDescent="0.4">
      <c r="A51" s="5" t="s">
        <v>157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38"/>
      <c r="W51" s="38"/>
      <c r="X51" s="38"/>
      <c r="Y51" s="38"/>
    </row>
    <row r="52" spans="1:25" ht="16.5" x14ac:dyDescent="0.4">
      <c r="A52" s="5" t="s">
        <v>154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38"/>
      <c r="W52" s="38"/>
      <c r="X52" s="38"/>
      <c r="Y52" s="38"/>
    </row>
    <row r="53" spans="1:25" ht="16.5" x14ac:dyDescent="0.4">
      <c r="A53" s="5" t="s">
        <v>158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38"/>
      <c r="W53" s="38"/>
      <c r="X53" s="38"/>
      <c r="Y53" s="38"/>
    </row>
    <row r="54" spans="1:25" ht="16.5" x14ac:dyDescent="0.4">
      <c r="A54" s="5" t="s">
        <v>155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38"/>
      <c r="W54" s="38"/>
      <c r="X54" s="38"/>
      <c r="Y54" s="38"/>
    </row>
    <row r="55" spans="1:25" ht="16.5" x14ac:dyDescent="0.4">
      <c r="A55" s="5" t="s">
        <v>159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38"/>
      <c r="W55" s="38"/>
      <c r="X55" s="38"/>
      <c r="Y55" s="38"/>
    </row>
    <row r="56" spans="1:25" ht="16.5" x14ac:dyDescent="0.4">
      <c r="A56" s="5" t="s">
        <v>164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38"/>
      <c r="W56" s="38"/>
      <c r="X56" s="38"/>
      <c r="Y56" s="38"/>
    </row>
    <row r="57" spans="1:25" ht="16.5" x14ac:dyDescent="0.4">
      <c r="A57" s="5" t="s">
        <v>162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38"/>
      <c r="W57" s="38"/>
      <c r="X57" s="38"/>
      <c r="Y57" s="38"/>
    </row>
    <row r="58" spans="1:25" ht="16.5" x14ac:dyDescent="0.4">
      <c r="A58" s="5" t="s">
        <v>150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38"/>
      <c r="W58" s="38"/>
      <c r="X58" s="38"/>
      <c r="Y58" s="38"/>
    </row>
    <row r="59" spans="1:25" ht="16.5" x14ac:dyDescent="0.4">
      <c r="A59" s="5" t="s">
        <v>151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38"/>
      <c r="W59" s="38"/>
      <c r="X59" s="38"/>
      <c r="Y59" s="38"/>
    </row>
    <row r="60" spans="1:25" ht="16.5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5"/>
      <c r="O60" s="5"/>
      <c r="P60" s="5"/>
      <c r="Q60" s="5"/>
      <c r="R60" s="5"/>
      <c r="S60" s="5"/>
      <c r="T60" s="5"/>
      <c r="U60" s="5"/>
      <c r="V60" s="38"/>
      <c r="W60" s="38"/>
      <c r="X60" s="38"/>
      <c r="Y60" s="38"/>
    </row>
    <row r="61" spans="1:25" ht="16.5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5"/>
      <c r="O61" s="5"/>
      <c r="P61" s="5"/>
      <c r="Q61" s="5"/>
      <c r="R61" s="5"/>
      <c r="S61" s="5"/>
      <c r="T61" s="5"/>
      <c r="U61" s="5"/>
      <c r="V61" s="38"/>
      <c r="W61" s="38"/>
      <c r="X61" s="38"/>
      <c r="Y61" s="38"/>
    </row>
    <row r="62" spans="1:25" ht="16.5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5"/>
      <c r="O62" s="5"/>
      <c r="P62" s="5"/>
      <c r="Q62" s="5"/>
      <c r="R62" s="5"/>
      <c r="S62" s="5"/>
      <c r="T62" s="5"/>
      <c r="U62" s="5"/>
      <c r="V62" s="38"/>
      <c r="W62" s="38"/>
      <c r="X62" s="38"/>
      <c r="Y62" s="38"/>
    </row>
    <row r="63" spans="1:25" ht="16.5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5"/>
      <c r="O63" s="5"/>
      <c r="P63" s="5"/>
      <c r="Q63" s="5"/>
      <c r="R63" s="5"/>
      <c r="S63" s="5"/>
      <c r="T63" s="5"/>
      <c r="U63" s="5"/>
      <c r="V63" s="38"/>
      <c r="W63" s="38"/>
      <c r="X63" s="38"/>
      <c r="Y63" s="38"/>
    </row>
    <row r="64" spans="1:25" ht="21.75" x14ac:dyDescent="0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38"/>
      <c r="W64" s="38"/>
      <c r="X64" s="38"/>
      <c r="Y64" s="38"/>
    </row>
    <row r="65" spans="1:27" x14ac:dyDescent="0.35">
      <c r="V65" s="38"/>
      <c r="W65" s="38"/>
      <c r="X65" s="38"/>
      <c r="Y65" s="38"/>
    </row>
    <row r="66" spans="1:27" x14ac:dyDescent="0.35">
      <c r="A66" s="7" t="s">
        <v>2</v>
      </c>
      <c r="V66" s="38"/>
      <c r="W66" s="38"/>
      <c r="X66" s="38"/>
      <c r="Y66" s="38"/>
    </row>
    <row r="67" spans="1:27" x14ac:dyDescent="0.35">
      <c r="V67" s="38"/>
      <c r="W67" s="38"/>
      <c r="X67" s="38"/>
      <c r="Y67" s="38"/>
    </row>
    <row r="68" spans="1:27" x14ac:dyDescent="0.35">
      <c r="A68" s="10" t="s">
        <v>0</v>
      </c>
      <c r="B68" s="11" t="s">
        <v>46</v>
      </c>
      <c r="C68" s="11" t="s">
        <v>26</v>
      </c>
      <c r="D68" s="11" t="s">
        <v>46</v>
      </c>
      <c r="E68" s="11" t="s">
        <v>28</v>
      </c>
      <c r="F68" s="11" t="s">
        <v>43</v>
      </c>
      <c r="G68" s="11" t="s">
        <v>43</v>
      </c>
      <c r="H68" s="11" t="s">
        <v>14</v>
      </c>
      <c r="I68" s="11" t="s">
        <v>138</v>
      </c>
      <c r="J68" s="11" t="s">
        <v>30</v>
      </c>
      <c r="K68" s="11" t="s">
        <v>135</v>
      </c>
      <c r="L68" s="11" t="s">
        <v>13</v>
      </c>
      <c r="M68" s="11" t="s">
        <v>13</v>
      </c>
      <c r="N68" s="11" t="s">
        <v>31</v>
      </c>
      <c r="O68" s="11" t="s">
        <v>33</v>
      </c>
      <c r="P68" s="11" t="s">
        <v>33</v>
      </c>
      <c r="Q68" s="11" t="s">
        <v>144</v>
      </c>
      <c r="R68" s="11" t="s">
        <v>35</v>
      </c>
      <c r="S68" s="12" t="s">
        <v>37</v>
      </c>
      <c r="T68" s="11" t="s">
        <v>39</v>
      </c>
      <c r="U68" s="11" t="s">
        <v>41</v>
      </c>
      <c r="V68" s="38"/>
      <c r="W68" s="48"/>
      <c r="X68" s="48"/>
      <c r="Y68" s="38"/>
      <c r="Z68" s="49"/>
      <c r="AA68" s="49"/>
    </row>
    <row r="69" spans="1:27" ht="15.75" thickBot="1" x14ac:dyDescent="0.4">
      <c r="A69" s="13"/>
      <c r="B69" s="14" t="s">
        <v>48</v>
      </c>
      <c r="C69" s="14" t="s">
        <v>27</v>
      </c>
      <c r="D69" s="14" t="s">
        <v>47</v>
      </c>
      <c r="E69" s="14" t="s">
        <v>29</v>
      </c>
      <c r="F69" s="14" t="s">
        <v>44</v>
      </c>
      <c r="G69" s="14" t="s">
        <v>45</v>
      </c>
      <c r="H69" s="15" t="s">
        <v>137</v>
      </c>
      <c r="I69" s="14" t="s">
        <v>139</v>
      </c>
      <c r="J69" s="14" t="s">
        <v>145</v>
      </c>
      <c r="K69" s="14" t="s">
        <v>136</v>
      </c>
      <c r="L69" s="14" t="s">
        <v>134</v>
      </c>
      <c r="M69" s="14" t="s">
        <v>152</v>
      </c>
      <c r="N69" s="14" t="s">
        <v>32</v>
      </c>
      <c r="O69" s="14" t="s">
        <v>34</v>
      </c>
      <c r="P69" s="14" t="s">
        <v>133</v>
      </c>
      <c r="Q69" s="16" t="s">
        <v>143</v>
      </c>
      <c r="R69" s="14" t="s">
        <v>36</v>
      </c>
      <c r="S69" s="17" t="s">
        <v>38</v>
      </c>
      <c r="T69" s="14" t="s">
        <v>40</v>
      </c>
      <c r="U69" s="14" t="s">
        <v>42</v>
      </c>
      <c r="V69" s="38"/>
      <c r="W69" s="48"/>
      <c r="X69" s="48"/>
      <c r="Y69" s="38"/>
      <c r="Z69" s="49"/>
      <c r="AA69" s="49"/>
    </row>
    <row r="70" spans="1:27" ht="15.75" thickBot="1" x14ac:dyDescent="0.4">
      <c r="A70" s="39" t="s">
        <v>17</v>
      </c>
      <c r="B70" s="40"/>
      <c r="C70" s="40"/>
      <c r="D70" s="40"/>
      <c r="E70" s="40"/>
      <c r="F70" s="40"/>
      <c r="G70" s="40"/>
      <c r="H70" s="41"/>
      <c r="I70" s="41">
        <f>I72+I73+I74+I75+I76+I77+I78+I79+I80</f>
        <v>1464000</v>
      </c>
      <c r="J70" s="50">
        <f>J71+J72+J73+J74+J75+J76+J77+J78+J79+J80</f>
        <v>3611200</v>
      </c>
      <c r="K70" s="40"/>
      <c r="L70" s="40"/>
      <c r="M70" s="40"/>
      <c r="N70" s="50"/>
      <c r="O70" s="50"/>
      <c r="P70" s="40"/>
      <c r="Q70" s="40"/>
      <c r="R70" s="40"/>
      <c r="S70" s="40"/>
      <c r="T70" s="40"/>
      <c r="U70" s="50">
        <f>H70+I70+J70+N70+O70</f>
        <v>5075200</v>
      </c>
      <c r="V70" s="38"/>
      <c r="W70" s="51"/>
      <c r="X70" s="51"/>
      <c r="Y70" s="38"/>
      <c r="Z70" s="49"/>
      <c r="AA70" s="49"/>
    </row>
    <row r="71" spans="1:27" x14ac:dyDescent="0.35">
      <c r="A71" s="25" t="s">
        <v>2</v>
      </c>
      <c r="B71" s="25"/>
      <c r="C71" s="25"/>
      <c r="D71" s="25"/>
      <c r="E71" s="25"/>
      <c r="F71" s="25"/>
      <c r="G71" s="25"/>
      <c r="H71" s="25"/>
      <c r="I71" s="25"/>
      <c r="J71" s="25">
        <v>10000</v>
      </c>
      <c r="K71" s="25"/>
      <c r="L71" s="25"/>
      <c r="M71" s="25"/>
      <c r="N71" s="42"/>
      <c r="O71" s="42"/>
      <c r="P71" s="25"/>
      <c r="Q71" s="42"/>
      <c r="R71" s="25"/>
      <c r="S71" s="25"/>
      <c r="T71" s="25"/>
      <c r="U71" s="25">
        <f>J71+Q71</f>
        <v>10000</v>
      </c>
      <c r="V71" s="44"/>
      <c r="W71" s="44">
        <v>60000</v>
      </c>
      <c r="X71" s="44"/>
      <c r="Y71" s="38"/>
      <c r="Z71" s="49"/>
      <c r="AA71" s="49"/>
    </row>
    <row r="72" spans="1:27" x14ac:dyDescent="0.35">
      <c r="A72" s="29" t="s">
        <v>58</v>
      </c>
      <c r="B72" s="29"/>
      <c r="C72" s="29"/>
      <c r="D72" s="29"/>
      <c r="E72" s="29"/>
      <c r="F72" s="29"/>
      <c r="G72" s="29"/>
      <c r="H72" s="29"/>
      <c r="I72" s="29">
        <v>0</v>
      </c>
      <c r="J72" s="25">
        <f t="shared" ref="J72:J80" si="5">W72/2</f>
        <v>351600</v>
      </c>
      <c r="K72" s="29"/>
      <c r="L72" s="29"/>
      <c r="M72" s="29"/>
      <c r="N72" s="29"/>
      <c r="O72" s="30"/>
      <c r="P72" s="29"/>
      <c r="Q72" s="29"/>
      <c r="R72" s="29"/>
      <c r="S72" s="29"/>
      <c r="T72" s="29"/>
      <c r="U72" s="29">
        <f>H72+I72+J72+N72+O72</f>
        <v>351600</v>
      </c>
      <c r="V72" s="44">
        <v>0</v>
      </c>
      <c r="W72" s="44">
        <f>683200+20000</f>
        <v>703200</v>
      </c>
      <c r="X72" s="44"/>
      <c r="Y72" s="52"/>
      <c r="Z72" s="49"/>
      <c r="AA72" s="49"/>
    </row>
    <row r="73" spans="1:27" x14ac:dyDescent="0.35">
      <c r="A73" s="29" t="s">
        <v>59</v>
      </c>
      <c r="B73" s="29"/>
      <c r="C73" s="29"/>
      <c r="D73" s="29"/>
      <c r="E73" s="29"/>
      <c r="F73" s="29"/>
      <c r="G73" s="29"/>
      <c r="H73" s="29"/>
      <c r="I73" s="29">
        <f>V73/2</f>
        <v>216000</v>
      </c>
      <c r="J73" s="25">
        <f t="shared" si="5"/>
        <v>318000</v>
      </c>
      <c r="K73" s="29"/>
      <c r="L73" s="29"/>
      <c r="M73" s="29"/>
      <c r="N73" s="29"/>
      <c r="O73" s="30"/>
      <c r="P73" s="29"/>
      <c r="Q73" s="29"/>
      <c r="R73" s="29"/>
      <c r="S73" s="29"/>
      <c r="T73" s="29"/>
      <c r="U73" s="29">
        <f t="shared" ref="U73:U80" si="6">H73+I73+J73+N73+O73</f>
        <v>534000</v>
      </c>
      <c r="V73" s="44">
        <v>432000</v>
      </c>
      <c r="W73" s="44">
        <f>616000+20000</f>
        <v>636000</v>
      </c>
      <c r="X73" s="44"/>
      <c r="Y73" s="52"/>
      <c r="Z73" s="49"/>
      <c r="AA73" s="49"/>
    </row>
    <row r="74" spans="1:27" x14ac:dyDescent="0.35">
      <c r="A74" s="29" t="s">
        <v>60</v>
      </c>
      <c r="B74" s="29"/>
      <c r="C74" s="29"/>
      <c r="D74" s="29"/>
      <c r="E74" s="29"/>
      <c r="F74" s="29"/>
      <c r="G74" s="29"/>
      <c r="H74" s="29"/>
      <c r="I74" s="29">
        <f t="shared" ref="I74:I80" si="7">V74/2</f>
        <v>288000</v>
      </c>
      <c r="J74" s="25">
        <f t="shared" si="5"/>
        <v>402000</v>
      </c>
      <c r="K74" s="29"/>
      <c r="L74" s="29"/>
      <c r="M74" s="29"/>
      <c r="N74" s="29"/>
      <c r="O74" s="30"/>
      <c r="P74" s="29"/>
      <c r="Q74" s="29"/>
      <c r="R74" s="29"/>
      <c r="S74" s="29"/>
      <c r="T74" s="29"/>
      <c r="U74" s="29">
        <f t="shared" si="6"/>
        <v>690000</v>
      </c>
      <c r="V74" s="44">
        <v>576000</v>
      </c>
      <c r="W74" s="44">
        <f>784000+20000</f>
        <v>804000</v>
      </c>
      <c r="X74" s="44"/>
      <c r="Y74" s="52"/>
      <c r="Z74" s="49"/>
      <c r="AA74" s="49"/>
    </row>
    <row r="75" spans="1:27" x14ac:dyDescent="0.35">
      <c r="A75" s="29" t="s">
        <v>61</v>
      </c>
      <c r="B75" s="29"/>
      <c r="C75" s="29"/>
      <c r="D75" s="29"/>
      <c r="E75" s="29"/>
      <c r="F75" s="29"/>
      <c r="G75" s="29"/>
      <c r="H75" s="29"/>
      <c r="I75" s="29">
        <f t="shared" si="7"/>
        <v>216000</v>
      </c>
      <c r="J75" s="25">
        <f t="shared" si="5"/>
        <v>687600</v>
      </c>
      <c r="K75" s="29"/>
      <c r="L75" s="29"/>
      <c r="M75" s="29"/>
      <c r="N75" s="29"/>
      <c r="O75" s="30"/>
      <c r="P75" s="29"/>
      <c r="Q75" s="29"/>
      <c r="R75" s="29"/>
      <c r="S75" s="29"/>
      <c r="T75" s="29"/>
      <c r="U75" s="29">
        <f t="shared" si="6"/>
        <v>903600</v>
      </c>
      <c r="V75" s="44">
        <v>432000</v>
      </c>
      <c r="W75" s="44">
        <f>1355200+20000</f>
        <v>1375200</v>
      </c>
      <c r="X75" s="44"/>
      <c r="Y75" s="52"/>
      <c r="Z75" s="49"/>
      <c r="AA75" s="49"/>
    </row>
    <row r="76" spans="1:27" x14ac:dyDescent="0.35">
      <c r="A76" s="29" t="s">
        <v>62</v>
      </c>
      <c r="B76" s="29"/>
      <c r="C76" s="29"/>
      <c r="D76" s="29"/>
      <c r="E76" s="29"/>
      <c r="F76" s="29"/>
      <c r="G76" s="29"/>
      <c r="H76" s="29"/>
      <c r="I76" s="29">
        <f t="shared" si="7"/>
        <v>168000</v>
      </c>
      <c r="J76" s="25">
        <f t="shared" si="5"/>
        <v>536400</v>
      </c>
      <c r="K76" s="29"/>
      <c r="L76" s="29"/>
      <c r="M76" s="29"/>
      <c r="N76" s="29"/>
      <c r="O76" s="30"/>
      <c r="P76" s="29"/>
      <c r="Q76" s="29"/>
      <c r="R76" s="29"/>
      <c r="S76" s="29"/>
      <c r="T76" s="29"/>
      <c r="U76" s="29">
        <f t="shared" si="6"/>
        <v>704400</v>
      </c>
      <c r="V76" s="44">
        <v>336000</v>
      </c>
      <c r="W76" s="44">
        <f>1052800+20000</f>
        <v>1072800</v>
      </c>
      <c r="X76" s="44"/>
      <c r="Y76" s="52"/>
      <c r="Z76" s="49"/>
      <c r="AA76" s="49"/>
    </row>
    <row r="77" spans="1:27" x14ac:dyDescent="0.35">
      <c r="A77" s="29" t="s">
        <v>63</v>
      </c>
      <c r="B77" s="29"/>
      <c r="C77" s="29"/>
      <c r="D77" s="29"/>
      <c r="E77" s="29"/>
      <c r="F77" s="29"/>
      <c r="G77" s="29"/>
      <c r="H77" s="29"/>
      <c r="I77" s="29">
        <f t="shared" si="7"/>
        <v>216000</v>
      </c>
      <c r="J77" s="25">
        <f t="shared" si="5"/>
        <v>402000</v>
      </c>
      <c r="K77" s="29"/>
      <c r="L77" s="29"/>
      <c r="M77" s="29"/>
      <c r="N77" s="29"/>
      <c r="O77" s="30"/>
      <c r="P77" s="29"/>
      <c r="Q77" s="29"/>
      <c r="R77" s="29"/>
      <c r="S77" s="29"/>
      <c r="T77" s="29"/>
      <c r="U77" s="29">
        <f t="shared" si="6"/>
        <v>618000</v>
      </c>
      <c r="V77" s="44">
        <v>432000</v>
      </c>
      <c r="W77" s="44">
        <f>784000+20000</f>
        <v>804000</v>
      </c>
      <c r="X77" s="44"/>
      <c r="Y77" s="52"/>
      <c r="Z77" s="49"/>
      <c r="AA77" s="49"/>
    </row>
    <row r="78" spans="1:27" x14ac:dyDescent="0.35">
      <c r="A78" s="29" t="s">
        <v>64</v>
      </c>
      <c r="B78" s="29"/>
      <c r="C78" s="29"/>
      <c r="D78" s="29"/>
      <c r="E78" s="29"/>
      <c r="F78" s="29"/>
      <c r="G78" s="29"/>
      <c r="H78" s="29"/>
      <c r="I78" s="29">
        <f t="shared" si="7"/>
        <v>216000</v>
      </c>
      <c r="J78" s="25">
        <f t="shared" si="5"/>
        <v>418800</v>
      </c>
      <c r="K78" s="29"/>
      <c r="L78" s="29"/>
      <c r="M78" s="29"/>
      <c r="N78" s="29"/>
      <c r="O78" s="30"/>
      <c r="P78" s="29"/>
      <c r="Q78" s="29"/>
      <c r="R78" s="29"/>
      <c r="S78" s="29"/>
      <c r="T78" s="29"/>
      <c r="U78" s="29">
        <f t="shared" si="6"/>
        <v>634800</v>
      </c>
      <c r="V78" s="44">
        <v>432000</v>
      </c>
      <c r="W78" s="44">
        <f>817600+20000</f>
        <v>837600</v>
      </c>
      <c r="X78" s="44"/>
      <c r="Y78" s="52"/>
      <c r="Z78" s="49"/>
      <c r="AA78" s="49"/>
    </row>
    <row r="79" spans="1:27" x14ac:dyDescent="0.35">
      <c r="A79" s="29" t="s">
        <v>65</v>
      </c>
      <c r="B79" s="29"/>
      <c r="C79" s="29"/>
      <c r="D79" s="29"/>
      <c r="E79" s="29"/>
      <c r="F79" s="29"/>
      <c r="G79" s="29"/>
      <c r="H79" s="29"/>
      <c r="I79" s="29">
        <f t="shared" si="7"/>
        <v>72000</v>
      </c>
      <c r="J79" s="25">
        <f t="shared" si="5"/>
        <v>194800</v>
      </c>
      <c r="K79" s="29"/>
      <c r="L79" s="29"/>
      <c r="M79" s="29"/>
      <c r="N79" s="29"/>
      <c r="O79" s="30"/>
      <c r="P79" s="29"/>
      <c r="Q79" s="29"/>
      <c r="R79" s="29"/>
      <c r="S79" s="29"/>
      <c r="T79" s="29"/>
      <c r="U79" s="29">
        <f t="shared" si="6"/>
        <v>266800</v>
      </c>
      <c r="V79" s="44">
        <v>144000</v>
      </c>
      <c r="W79" s="44">
        <f>369600+20000</f>
        <v>389600</v>
      </c>
      <c r="X79" s="44"/>
      <c r="Y79" s="52"/>
      <c r="Z79" s="49"/>
      <c r="AA79" s="49"/>
    </row>
    <row r="80" spans="1:27" x14ac:dyDescent="0.35">
      <c r="A80" s="29" t="s">
        <v>131</v>
      </c>
      <c r="B80" s="29"/>
      <c r="C80" s="29"/>
      <c r="D80" s="29"/>
      <c r="E80" s="29"/>
      <c r="F80" s="29"/>
      <c r="G80" s="29"/>
      <c r="H80" s="29"/>
      <c r="I80" s="29">
        <f t="shared" si="7"/>
        <v>72000</v>
      </c>
      <c r="J80" s="25">
        <f t="shared" si="5"/>
        <v>290000</v>
      </c>
      <c r="K80" s="29"/>
      <c r="L80" s="29"/>
      <c r="M80" s="29"/>
      <c r="N80" s="29"/>
      <c r="O80" s="30"/>
      <c r="P80" s="29"/>
      <c r="Q80" s="29"/>
      <c r="R80" s="29"/>
      <c r="S80" s="29"/>
      <c r="T80" s="29"/>
      <c r="U80" s="29">
        <f t="shared" si="6"/>
        <v>362000</v>
      </c>
      <c r="V80" s="44">
        <v>144000</v>
      </c>
      <c r="W80" s="44">
        <f>560000+20000</f>
        <v>580000</v>
      </c>
      <c r="X80" s="44"/>
      <c r="Y80" s="52"/>
      <c r="Z80" s="49"/>
      <c r="AA80" s="49"/>
    </row>
    <row r="81" spans="1:25" x14ac:dyDescent="0.35">
      <c r="H81" s="53"/>
      <c r="I81" s="53"/>
      <c r="J81" s="18"/>
      <c r="N81" s="54"/>
      <c r="O81" s="18"/>
      <c r="U81" s="55"/>
      <c r="V81" s="38"/>
      <c r="W81" s="38"/>
      <c r="X81" s="38"/>
      <c r="Y81" s="38"/>
    </row>
    <row r="82" spans="1:25" ht="21.75" x14ac:dyDescent="0.5">
      <c r="A82" s="2" t="s">
        <v>160</v>
      </c>
      <c r="B82" s="2"/>
      <c r="C82" s="2"/>
      <c r="D82" s="2"/>
      <c r="E82" s="2"/>
      <c r="F82" s="2"/>
      <c r="G82" s="2"/>
      <c r="H82" s="4"/>
      <c r="I82" s="2"/>
      <c r="J82" s="2"/>
      <c r="K82" s="2"/>
      <c r="L82" s="2"/>
      <c r="M82" s="2"/>
      <c r="N82" s="4"/>
      <c r="O82" s="2"/>
      <c r="P82" s="2"/>
      <c r="Q82" s="2"/>
      <c r="R82" s="2"/>
      <c r="S82" s="2"/>
      <c r="T82" s="2"/>
      <c r="U82" s="3"/>
      <c r="V82" s="38"/>
      <c r="W82" s="38"/>
      <c r="X82" s="38"/>
      <c r="Y82" s="38"/>
    </row>
    <row r="83" spans="1:25" ht="16.5" x14ac:dyDescent="0.4">
      <c r="A83" s="5" t="s">
        <v>156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38"/>
      <c r="W83" s="38"/>
      <c r="X83" s="38"/>
      <c r="Y83" s="38"/>
    </row>
    <row r="84" spans="1:25" ht="16.5" x14ac:dyDescent="0.4">
      <c r="A84" s="5" t="s">
        <v>153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38"/>
      <c r="W84" s="38"/>
      <c r="X84" s="38"/>
      <c r="Y84" s="38"/>
    </row>
    <row r="85" spans="1:25" ht="16.5" x14ac:dyDescent="0.4">
      <c r="A85" s="5" t="s">
        <v>157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38"/>
      <c r="W85" s="38"/>
      <c r="X85" s="38"/>
      <c r="Y85" s="38"/>
    </row>
    <row r="86" spans="1:25" ht="16.5" x14ac:dyDescent="0.4">
      <c r="A86" s="5" t="s">
        <v>154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38"/>
      <c r="W86" s="38"/>
      <c r="X86" s="38"/>
      <c r="Y86" s="38"/>
    </row>
    <row r="87" spans="1:25" ht="16.5" x14ac:dyDescent="0.4">
      <c r="A87" s="5" t="s">
        <v>158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38"/>
      <c r="W87" s="38"/>
      <c r="X87" s="38"/>
      <c r="Y87" s="38"/>
    </row>
    <row r="88" spans="1:25" ht="16.5" x14ac:dyDescent="0.4">
      <c r="A88" s="5" t="s">
        <v>155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38"/>
      <c r="W88" s="38"/>
      <c r="X88" s="38"/>
      <c r="Y88" s="38"/>
    </row>
    <row r="89" spans="1:25" ht="16.5" x14ac:dyDescent="0.4">
      <c r="A89" s="5" t="s">
        <v>159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38"/>
      <c r="W89" s="38"/>
      <c r="X89" s="38"/>
      <c r="Y89" s="38"/>
    </row>
    <row r="90" spans="1:25" ht="16.5" x14ac:dyDescent="0.4">
      <c r="A90" s="5" t="s">
        <v>164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38"/>
      <c r="W90" s="38"/>
      <c r="X90" s="38"/>
      <c r="Y90" s="38"/>
    </row>
    <row r="91" spans="1:25" ht="16.5" x14ac:dyDescent="0.4">
      <c r="A91" s="5" t="s">
        <v>162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38"/>
      <c r="W91" s="38"/>
      <c r="X91" s="38"/>
      <c r="Y91" s="38"/>
    </row>
    <row r="92" spans="1:25" ht="16.5" x14ac:dyDescent="0.4">
      <c r="A92" s="5" t="s">
        <v>150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38"/>
      <c r="W92" s="38"/>
      <c r="X92" s="38"/>
      <c r="Y92" s="38"/>
    </row>
    <row r="93" spans="1:25" ht="16.5" x14ac:dyDescent="0.4">
      <c r="A93" s="5" t="s">
        <v>151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38"/>
      <c r="W93" s="38"/>
      <c r="X93" s="38"/>
      <c r="Y93" s="38"/>
    </row>
    <row r="94" spans="1:25" x14ac:dyDescent="0.35">
      <c r="V94" s="38"/>
      <c r="W94" s="38"/>
      <c r="X94" s="38"/>
      <c r="Y94" s="38"/>
    </row>
    <row r="95" spans="1:25" x14ac:dyDescent="0.35">
      <c r="V95" s="38"/>
      <c r="W95" s="38"/>
      <c r="X95" s="38"/>
      <c r="Y95" s="38"/>
    </row>
    <row r="96" spans="1:25" x14ac:dyDescent="0.35">
      <c r="V96" s="38"/>
      <c r="W96" s="38"/>
      <c r="X96" s="38"/>
      <c r="Y96" s="38"/>
    </row>
    <row r="97" spans="1:26" x14ac:dyDescent="0.35">
      <c r="V97" s="38"/>
      <c r="W97" s="38"/>
      <c r="X97" s="38"/>
      <c r="Y97" s="38"/>
    </row>
    <row r="98" spans="1:26" x14ac:dyDescent="0.35">
      <c r="V98" s="38"/>
      <c r="W98" s="38"/>
      <c r="X98" s="38"/>
      <c r="Y98" s="38"/>
    </row>
    <row r="99" spans="1:26" x14ac:dyDescent="0.35">
      <c r="A99" s="7" t="s">
        <v>3</v>
      </c>
      <c r="V99" s="38"/>
      <c r="W99" s="38"/>
      <c r="X99" s="38"/>
      <c r="Y99" s="38"/>
    </row>
    <row r="100" spans="1:26" x14ac:dyDescent="0.35">
      <c r="V100" s="38"/>
      <c r="W100" s="38"/>
      <c r="X100" s="38"/>
      <c r="Y100" s="38"/>
    </row>
    <row r="101" spans="1:26" x14ac:dyDescent="0.35">
      <c r="A101" s="10" t="s">
        <v>0</v>
      </c>
      <c r="B101" s="11" t="s">
        <v>46</v>
      </c>
      <c r="C101" s="11" t="s">
        <v>26</v>
      </c>
      <c r="D101" s="11" t="s">
        <v>46</v>
      </c>
      <c r="E101" s="11" t="s">
        <v>28</v>
      </c>
      <c r="F101" s="11" t="s">
        <v>43</v>
      </c>
      <c r="G101" s="11" t="s">
        <v>43</v>
      </c>
      <c r="H101" s="11" t="s">
        <v>14</v>
      </c>
      <c r="I101" s="11" t="s">
        <v>138</v>
      </c>
      <c r="J101" s="11" t="s">
        <v>30</v>
      </c>
      <c r="K101" s="11" t="s">
        <v>135</v>
      </c>
      <c r="L101" s="11" t="s">
        <v>13</v>
      </c>
      <c r="M101" s="11" t="s">
        <v>13</v>
      </c>
      <c r="N101" s="11" t="s">
        <v>31</v>
      </c>
      <c r="O101" s="11" t="s">
        <v>33</v>
      </c>
      <c r="P101" s="11" t="s">
        <v>33</v>
      </c>
      <c r="Q101" s="11" t="s">
        <v>144</v>
      </c>
      <c r="R101" s="11" t="s">
        <v>35</v>
      </c>
      <c r="S101" s="12" t="s">
        <v>37</v>
      </c>
      <c r="T101" s="11" t="s">
        <v>39</v>
      </c>
      <c r="U101" s="11" t="s">
        <v>41</v>
      </c>
      <c r="V101" s="38"/>
      <c r="W101" s="48"/>
      <c r="X101" s="48"/>
      <c r="Y101" s="38"/>
      <c r="Z101" s="49"/>
    </row>
    <row r="102" spans="1:26" ht="15.75" thickBot="1" x14ac:dyDescent="0.4">
      <c r="A102" s="13"/>
      <c r="B102" s="14" t="s">
        <v>48</v>
      </c>
      <c r="C102" s="14" t="s">
        <v>27</v>
      </c>
      <c r="D102" s="14" t="s">
        <v>47</v>
      </c>
      <c r="E102" s="14" t="s">
        <v>29</v>
      </c>
      <c r="F102" s="14" t="s">
        <v>44</v>
      </c>
      <c r="G102" s="14" t="s">
        <v>45</v>
      </c>
      <c r="H102" s="15" t="s">
        <v>137</v>
      </c>
      <c r="I102" s="14" t="s">
        <v>139</v>
      </c>
      <c r="J102" s="14" t="s">
        <v>145</v>
      </c>
      <c r="K102" s="14" t="s">
        <v>136</v>
      </c>
      <c r="L102" s="14" t="s">
        <v>134</v>
      </c>
      <c r="M102" s="14" t="s">
        <v>152</v>
      </c>
      <c r="N102" s="14" t="s">
        <v>32</v>
      </c>
      <c r="O102" s="14" t="s">
        <v>34</v>
      </c>
      <c r="P102" s="14" t="s">
        <v>133</v>
      </c>
      <c r="Q102" s="16" t="s">
        <v>143</v>
      </c>
      <c r="R102" s="14" t="s">
        <v>36</v>
      </c>
      <c r="S102" s="17" t="s">
        <v>38</v>
      </c>
      <c r="T102" s="14" t="s">
        <v>40</v>
      </c>
      <c r="U102" s="14" t="s">
        <v>42</v>
      </c>
      <c r="V102" s="38"/>
      <c r="W102" s="48"/>
      <c r="X102" s="48"/>
      <c r="Y102" s="38"/>
      <c r="Z102" s="49"/>
    </row>
    <row r="103" spans="1:26" ht="15.75" thickBot="1" x14ac:dyDescent="0.4">
      <c r="A103" s="39" t="s">
        <v>18</v>
      </c>
      <c r="B103" s="40"/>
      <c r="C103" s="40"/>
      <c r="D103" s="40"/>
      <c r="E103" s="40"/>
      <c r="F103" s="40"/>
      <c r="G103" s="40"/>
      <c r="H103" s="41"/>
      <c r="I103" s="41">
        <f>I105+I106+I107+I108+I109+I110+I111+I112</f>
        <v>1272000</v>
      </c>
      <c r="J103" s="50">
        <f>J104+J105+J106+J107+J108+J109+J110+J111+J112</f>
        <v>3270800</v>
      </c>
      <c r="K103" s="40"/>
      <c r="L103" s="40"/>
      <c r="M103" s="40"/>
      <c r="N103" s="50"/>
      <c r="O103" s="50"/>
      <c r="P103" s="40"/>
      <c r="Q103" s="40"/>
      <c r="R103" s="40"/>
      <c r="S103" s="40"/>
      <c r="T103" s="40"/>
      <c r="U103" s="50">
        <f>U104+U105+U106+U107+U108+U109+U110+U111+U112</f>
        <v>4542800</v>
      </c>
      <c r="V103" s="38"/>
      <c r="W103" s="51"/>
      <c r="X103" s="51"/>
      <c r="Y103" s="38"/>
      <c r="Z103" s="49"/>
    </row>
    <row r="104" spans="1:26" x14ac:dyDescent="0.35">
      <c r="A104" s="25" t="s">
        <v>3</v>
      </c>
      <c r="B104" s="25"/>
      <c r="C104" s="25"/>
      <c r="D104" s="25"/>
      <c r="E104" s="25"/>
      <c r="F104" s="25"/>
      <c r="G104" s="25"/>
      <c r="H104" s="42"/>
      <c r="I104" s="42"/>
      <c r="J104" s="25">
        <v>10000</v>
      </c>
      <c r="K104" s="25"/>
      <c r="L104" s="25"/>
      <c r="M104" s="25"/>
      <c r="N104" s="43"/>
      <c r="O104" s="43"/>
      <c r="P104" s="25"/>
      <c r="Q104" s="43"/>
      <c r="R104" s="25"/>
      <c r="S104" s="25"/>
      <c r="T104" s="25"/>
      <c r="U104" s="56">
        <f t="shared" ref="U104:U112" si="8">H104+I104+J104+N104+O104</f>
        <v>10000</v>
      </c>
      <c r="V104" s="44"/>
      <c r="W104" s="44">
        <v>60000</v>
      </c>
      <c r="X104" s="44"/>
      <c r="Y104" s="38"/>
      <c r="Z104" s="49"/>
    </row>
    <row r="105" spans="1:26" x14ac:dyDescent="0.35">
      <c r="A105" s="29" t="s">
        <v>66</v>
      </c>
      <c r="B105" s="29"/>
      <c r="C105" s="29"/>
      <c r="D105" s="29"/>
      <c r="E105" s="29"/>
      <c r="F105" s="29"/>
      <c r="G105" s="29"/>
      <c r="H105" s="29"/>
      <c r="I105" s="29">
        <f>V105/2</f>
        <v>96000</v>
      </c>
      <c r="J105" s="25">
        <f t="shared" ref="J105:J112" si="9">W105/2</f>
        <v>413200</v>
      </c>
      <c r="K105" s="29"/>
      <c r="L105" s="29"/>
      <c r="M105" s="29"/>
      <c r="N105" s="29"/>
      <c r="O105" s="45"/>
      <c r="P105" s="29"/>
      <c r="Q105" s="29"/>
      <c r="R105" s="29"/>
      <c r="S105" s="29"/>
      <c r="T105" s="29"/>
      <c r="U105" s="57">
        <f t="shared" si="8"/>
        <v>509200</v>
      </c>
      <c r="V105" s="44">
        <v>192000</v>
      </c>
      <c r="W105" s="44">
        <f>806400+20000</f>
        <v>826400</v>
      </c>
      <c r="X105" s="44"/>
      <c r="Y105" s="52"/>
      <c r="Z105" s="49"/>
    </row>
    <row r="106" spans="1:26" x14ac:dyDescent="0.35">
      <c r="A106" s="29" t="s">
        <v>67</v>
      </c>
      <c r="B106" s="29"/>
      <c r="C106" s="29"/>
      <c r="D106" s="29"/>
      <c r="E106" s="29"/>
      <c r="F106" s="29"/>
      <c r="G106" s="29"/>
      <c r="H106" s="29"/>
      <c r="I106" s="29">
        <f t="shared" ref="I106:I112" si="10">V106/2</f>
        <v>216000</v>
      </c>
      <c r="J106" s="25">
        <f t="shared" si="9"/>
        <v>491600</v>
      </c>
      <c r="K106" s="29"/>
      <c r="L106" s="29"/>
      <c r="M106" s="29"/>
      <c r="N106" s="29"/>
      <c r="O106" s="45"/>
      <c r="P106" s="29"/>
      <c r="Q106" s="29"/>
      <c r="R106" s="29"/>
      <c r="S106" s="29"/>
      <c r="T106" s="29"/>
      <c r="U106" s="57">
        <f t="shared" si="8"/>
        <v>707600</v>
      </c>
      <c r="V106" s="44">
        <v>432000</v>
      </c>
      <c r="W106" s="44">
        <f>963200+20000</f>
        <v>983200</v>
      </c>
      <c r="X106" s="44"/>
      <c r="Y106" s="52"/>
      <c r="Z106" s="49"/>
    </row>
    <row r="107" spans="1:26" x14ac:dyDescent="0.35">
      <c r="A107" s="29" t="s">
        <v>68</v>
      </c>
      <c r="B107" s="29"/>
      <c r="C107" s="29"/>
      <c r="D107" s="29"/>
      <c r="E107" s="29"/>
      <c r="F107" s="29"/>
      <c r="G107" s="29"/>
      <c r="H107" s="29"/>
      <c r="I107" s="29">
        <f t="shared" si="10"/>
        <v>360000</v>
      </c>
      <c r="J107" s="25">
        <f t="shared" si="9"/>
        <v>654000</v>
      </c>
      <c r="K107" s="29"/>
      <c r="L107" s="29"/>
      <c r="M107" s="29"/>
      <c r="N107" s="29"/>
      <c r="O107" s="45"/>
      <c r="P107" s="29"/>
      <c r="Q107" s="29"/>
      <c r="R107" s="29"/>
      <c r="S107" s="29"/>
      <c r="T107" s="29"/>
      <c r="U107" s="57">
        <f t="shared" si="8"/>
        <v>1014000</v>
      </c>
      <c r="V107" s="44">
        <v>720000</v>
      </c>
      <c r="W107" s="44">
        <f>1288000+20000</f>
        <v>1308000</v>
      </c>
      <c r="X107" s="44"/>
      <c r="Y107" s="52"/>
      <c r="Z107" s="49"/>
    </row>
    <row r="108" spans="1:26" x14ac:dyDescent="0.35">
      <c r="A108" s="29" t="s">
        <v>69</v>
      </c>
      <c r="B108" s="29"/>
      <c r="C108" s="29"/>
      <c r="D108" s="29"/>
      <c r="E108" s="29"/>
      <c r="F108" s="29"/>
      <c r="G108" s="29"/>
      <c r="H108" s="29"/>
      <c r="I108" s="29">
        <f t="shared" si="10"/>
        <v>48000</v>
      </c>
      <c r="J108" s="25">
        <f t="shared" si="9"/>
        <v>312400</v>
      </c>
      <c r="K108" s="29"/>
      <c r="L108" s="29"/>
      <c r="M108" s="29"/>
      <c r="N108" s="29"/>
      <c r="O108" s="45"/>
      <c r="P108" s="29"/>
      <c r="Q108" s="29"/>
      <c r="R108" s="29"/>
      <c r="S108" s="29"/>
      <c r="T108" s="29"/>
      <c r="U108" s="57">
        <f t="shared" si="8"/>
        <v>360400</v>
      </c>
      <c r="V108" s="44">
        <v>96000</v>
      </c>
      <c r="W108" s="44">
        <f>604800+20000</f>
        <v>624800</v>
      </c>
      <c r="X108" s="44"/>
      <c r="Y108" s="52"/>
      <c r="Z108" s="49"/>
    </row>
    <row r="109" spans="1:26" x14ac:dyDescent="0.35">
      <c r="A109" s="29" t="s">
        <v>70</v>
      </c>
      <c r="B109" s="29"/>
      <c r="C109" s="29"/>
      <c r="D109" s="29"/>
      <c r="E109" s="29"/>
      <c r="F109" s="29"/>
      <c r="G109" s="29"/>
      <c r="H109" s="29"/>
      <c r="I109" s="29">
        <f t="shared" si="10"/>
        <v>48000</v>
      </c>
      <c r="J109" s="25">
        <f t="shared" si="9"/>
        <v>166800</v>
      </c>
      <c r="K109" s="29"/>
      <c r="L109" s="29"/>
      <c r="M109" s="29"/>
      <c r="N109" s="29"/>
      <c r="O109" s="45"/>
      <c r="P109" s="29"/>
      <c r="Q109" s="29"/>
      <c r="R109" s="29"/>
      <c r="S109" s="29"/>
      <c r="T109" s="29"/>
      <c r="U109" s="57">
        <f t="shared" si="8"/>
        <v>214800</v>
      </c>
      <c r="V109" s="44">
        <v>96000</v>
      </c>
      <c r="W109" s="44">
        <f>313600+20000</f>
        <v>333600</v>
      </c>
      <c r="X109" s="44"/>
      <c r="Y109" s="52"/>
      <c r="Z109" s="49"/>
    </row>
    <row r="110" spans="1:26" x14ac:dyDescent="0.35">
      <c r="A110" s="29" t="s">
        <v>71</v>
      </c>
      <c r="B110" s="29"/>
      <c r="C110" s="29"/>
      <c r="D110" s="29"/>
      <c r="E110" s="29"/>
      <c r="F110" s="29"/>
      <c r="G110" s="29"/>
      <c r="H110" s="29"/>
      <c r="I110" s="29">
        <f t="shared" si="10"/>
        <v>144000</v>
      </c>
      <c r="J110" s="25">
        <f t="shared" si="9"/>
        <v>318000</v>
      </c>
      <c r="K110" s="29"/>
      <c r="L110" s="29"/>
      <c r="M110" s="29"/>
      <c r="N110" s="29"/>
      <c r="O110" s="45"/>
      <c r="P110" s="29"/>
      <c r="Q110" s="29"/>
      <c r="R110" s="29"/>
      <c r="S110" s="29"/>
      <c r="T110" s="29"/>
      <c r="U110" s="57">
        <f t="shared" si="8"/>
        <v>462000</v>
      </c>
      <c r="V110" s="44">
        <v>288000</v>
      </c>
      <c r="W110" s="44">
        <f>616000+20000</f>
        <v>636000</v>
      </c>
      <c r="X110" s="44"/>
      <c r="Y110" s="52"/>
      <c r="Z110" s="49"/>
    </row>
    <row r="111" spans="1:26" x14ac:dyDescent="0.35">
      <c r="A111" s="29" t="s">
        <v>72</v>
      </c>
      <c r="B111" s="29"/>
      <c r="C111" s="29"/>
      <c r="D111" s="29"/>
      <c r="E111" s="29"/>
      <c r="F111" s="29"/>
      <c r="G111" s="29"/>
      <c r="H111" s="29"/>
      <c r="I111" s="29">
        <f t="shared" si="10"/>
        <v>240000</v>
      </c>
      <c r="J111" s="25">
        <f t="shared" si="9"/>
        <v>446800</v>
      </c>
      <c r="K111" s="29"/>
      <c r="L111" s="29"/>
      <c r="M111" s="29"/>
      <c r="N111" s="29"/>
      <c r="O111" s="45"/>
      <c r="P111" s="29"/>
      <c r="Q111" s="29"/>
      <c r="R111" s="29"/>
      <c r="S111" s="29"/>
      <c r="T111" s="29"/>
      <c r="U111" s="57">
        <f t="shared" si="8"/>
        <v>686800</v>
      </c>
      <c r="V111" s="44">
        <v>480000</v>
      </c>
      <c r="W111" s="44">
        <f>873600+20000</f>
        <v>893600</v>
      </c>
      <c r="X111" s="44"/>
      <c r="Y111" s="52"/>
      <c r="Z111" s="49"/>
    </row>
    <row r="112" spans="1:26" x14ac:dyDescent="0.35">
      <c r="A112" s="29" t="s">
        <v>73</v>
      </c>
      <c r="B112" s="29"/>
      <c r="C112" s="29"/>
      <c r="D112" s="29"/>
      <c r="E112" s="29"/>
      <c r="F112" s="29"/>
      <c r="G112" s="29"/>
      <c r="H112" s="29"/>
      <c r="I112" s="29">
        <f t="shared" si="10"/>
        <v>120000</v>
      </c>
      <c r="J112" s="25">
        <f t="shared" si="9"/>
        <v>458000</v>
      </c>
      <c r="K112" s="29"/>
      <c r="L112" s="29"/>
      <c r="M112" s="29"/>
      <c r="N112" s="29"/>
      <c r="O112" s="45"/>
      <c r="P112" s="29"/>
      <c r="Q112" s="29"/>
      <c r="R112" s="29"/>
      <c r="S112" s="29"/>
      <c r="T112" s="29"/>
      <c r="U112" s="57">
        <f t="shared" si="8"/>
        <v>578000</v>
      </c>
      <c r="V112" s="44">
        <v>240000</v>
      </c>
      <c r="W112" s="44">
        <f>896000+20000</f>
        <v>916000</v>
      </c>
      <c r="X112" s="44"/>
      <c r="Y112" s="52"/>
      <c r="Z112" s="49"/>
    </row>
    <row r="113" spans="1:25" x14ac:dyDescent="0.35">
      <c r="J113" s="18"/>
      <c r="N113" s="58"/>
      <c r="O113" s="18"/>
      <c r="U113" s="55"/>
      <c r="V113" s="38"/>
      <c r="W113" s="38"/>
      <c r="X113" s="38"/>
      <c r="Y113" s="38"/>
    </row>
    <row r="114" spans="1:25" ht="21.75" x14ac:dyDescent="0.5">
      <c r="A114" s="2" t="s">
        <v>160</v>
      </c>
      <c r="B114" s="2"/>
      <c r="C114" s="2"/>
      <c r="D114" s="2"/>
      <c r="E114" s="2"/>
      <c r="F114" s="2"/>
      <c r="G114" s="2"/>
      <c r="H114" s="4"/>
      <c r="I114" s="2"/>
      <c r="J114" s="2"/>
      <c r="K114" s="2"/>
      <c r="L114" s="2"/>
      <c r="M114" s="2"/>
      <c r="N114" s="4"/>
      <c r="O114" s="2"/>
      <c r="P114" s="2"/>
      <c r="Q114" s="2"/>
      <c r="R114" s="2"/>
      <c r="S114" s="2"/>
      <c r="T114" s="2"/>
      <c r="U114" s="3"/>
      <c r="V114" s="38"/>
      <c r="W114" s="38"/>
      <c r="X114" s="38"/>
      <c r="Y114" s="38"/>
    </row>
    <row r="115" spans="1:25" ht="16.5" x14ac:dyDescent="0.4">
      <c r="A115" s="5" t="s">
        <v>156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38"/>
      <c r="W115" s="38"/>
      <c r="X115" s="38"/>
      <c r="Y115" s="38"/>
    </row>
    <row r="116" spans="1:25" ht="16.5" x14ac:dyDescent="0.4">
      <c r="A116" s="5" t="s">
        <v>153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38"/>
      <c r="W116" s="38"/>
      <c r="X116" s="38"/>
      <c r="Y116" s="38"/>
    </row>
    <row r="117" spans="1:25" ht="16.5" x14ac:dyDescent="0.4">
      <c r="A117" s="5" t="s">
        <v>157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38"/>
      <c r="W117" s="38"/>
      <c r="X117" s="38"/>
      <c r="Y117" s="38"/>
    </row>
    <row r="118" spans="1:25" ht="16.5" x14ac:dyDescent="0.4">
      <c r="A118" s="5" t="s">
        <v>154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38"/>
      <c r="W118" s="38"/>
      <c r="X118" s="38"/>
      <c r="Y118" s="38"/>
    </row>
    <row r="119" spans="1:25" ht="16.5" x14ac:dyDescent="0.4">
      <c r="A119" s="5" t="s">
        <v>158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38"/>
      <c r="W119" s="38"/>
      <c r="X119" s="38"/>
      <c r="Y119" s="38"/>
    </row>
    <row r="120" spans="1:25" ht="16.5" x14ac:dyDescent="0.4">
      <c r="A120" s="5" t="s">
        <v>155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38"/>
      <c r="W120" s="38"/>
      <c r="X120" s="38"/>
      <c r="Y120" s="38"/>
    </row>
    <row r="121" spans="1:25" ht="16.5" x14ac:dyDescent="0.4">
      <c r="A121" s="5" t="s">
        <v>159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38"/>
      <c r="W121" s="38"/>
      <c r="X121" s="38"/>
      <c r="Y121" s="38"/>
    </row>
    <row r="122" spans="1:25" ht="16.5" x14ac:dyDescent="0.4">
      <c r="A122" s="5" t="s">
        <v>164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38"/>
      <c r="W122" s="38"/>
      <c r="X122" s="38"/>
      <c r="Y122" s="38"/>
    </row>
    <row r="123" spans="1:25" ht="16.5" x14ac:dyDescent="0.4">
      <c r="A123" s="5" t="s">
        <v>162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38"/>
      <c r="W123" s="38"/>
      <c r="X123" s="38"/>
      <c r="Y123" s="38"/>
    </row>
    <row r="124" spans="1:25" ht="16.5" x14ac:dyDescent="0.4">
      <c r="A124" s="5" t="s">
        <v>150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38"/>
      <c r="W124" s="38"/>
      <c r="X124" s="38"/>
      <c r="Y124" s="38"/>
    </row>
    <row r="125" spans="1:25" ht="16.5" x14ac:dyDescent="0.4">
      <c r="A125" s="5" t="s">
        <v>151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38"/>
      <c r="W125" s="38"/>
      <c r="X125" s="38"/>
      <c r="Y125" s="38"/>
    </row>
    <row r="126" spans="1:25" x14ac:dyDescent="0.35">
      <c r="V126" s="38"/>
      <c r="W126" s="38"/>
      <c r="X126" s="38"/>
      <c r="Y126" s="38"/>
    </row>
    <row r="127" spans="1:25" x14ac:dyDescent="0.35">
      <c r="V127" s="38"/>
      <c r="W127" s="38"/>
      <c r="X127" s="38"/>
      <c r="Y127" s="38"/>
    </row>
    <row r="128" spans="1:25" x14ac:dyDescent="0.35">
      <c r="V128" s="38"/>
      <c r="W128" s="38"/>
      <c r="X128" s="38"/>
      <c r="Y128" s="38"/>
    </row>
    <row r="129" spans="1:26" x14ac:dyDescent="0.35">
      <c r="V129" s="38"/>
      <c r="W129" s="38"/>
      <c r="X129" s="38"/>
      <c r="Y129" s="38"/>
    </row>
    <row r="130" spans="1:26" x14ac:dyDescent="0.35">
      <c r="V130" s="38"/>
      <c r="W130" s="38"/>
      <c r="X130" s="38"/>
      <c r="Y130" s="38"/>
    </row>
    <row r="131" spans="1:26" x14ac:dyDescent="0.35">
      <c r="V131" s="38"/>
      <c r="W131" s="38"/>
      <c r="X131" s="38"/>
      <c r="Y131" s="38"/>
    </row>
    <row r="132" spans="1:26" x14ac:dyDescent="0.35">
      <c r="V132" s="38"/>
      <c r="W132" s="38"/>
      <c r="X132" s="38"/>
      <c r="Y132" s="38"/>
    </row>
    <row r="133" spans="1:26" x14ac:dyDescent="0.35">
      <c r="A133" s="7" t="s">
        <v>4</v>
      </c>
      <c r="V133" s="38"/>
      <c r="W133" s="38"/>
      <c r="X133" s="38"/>
      <c r="Y133" s="38"/>
    </row>
    <row r="134" spans="1:26" x14ac:dyDescent="0.35">
      <c r="V134" s="38"/>
      <c r="W134" s="38"/>
      <c r="X134" s="38"/>
      <c r="Y134" s="38"/>
      <c r="Z134" s="49"/>
    </row>
    <row r="135" spans="1:26" x14ac:dyDescent="0.35">
      <c r="A135" s="10" t="s">
        <v>0</v>
      </c>
      <c r="B135" s="11" t="s">
        <v>46</v>
      </c>
      <c r="C135" s="11" t="s">
        <v>26</v>
      </c>
      <c r="D135" s="11" t="s">
        <v>46</v>
      </c>
      <c r="E135" s="11" t="s">
        <v>28</v>
      </c>
      <c r="F135" s="11" t="s">
        <v>43</v>
      </c>
      <c r="G135" s="11" t="s">
        <v>43</v>
      </c>
      <c r="H135" s="11" t="s">
        <v>14</v>
      </c>
      <c r="I135" s="11" t="s">
        <v>138</v>
      </c>
      <c r="J135" s="11" t="s">
        <v>30</v>
      </c>
      <c r="K135" s="11" t="s">
        <v>135</v>
      </c>
      <c r="L135" s="11" t="s">
        <v>13</v>
      </c>
      <c r="M135" s="11" t="s">
        <v>13</v>
      </c>
      <c r="N135" s="11" t="s">
        <v>31</v>
      </c>
      <c r="O135" s="11" t="s">
        <v>33</v>
      </c>
      <c r="P135" s="11" t="s">
        <v>33</v>
      </c>
      <c r="Q135" s="11" t="s">
        <v>144</v>
      </c>
      <c r="R135" s="11" t="s">
        <v>35</v>
      </c>
      <c r="S135" s="12" t="s">
        <v>37</v>
      </c>
      <c r="T135" s="11" t="s">
        <v>39</v>
      </c>
      <c r="U135" s="11" t="s">
        <v>41</v>
      </c>
      <c r="V135" s="38"/>
      <c r="W135" s="48"/>
      <c r="X135" s="48"/>
      <c r="Y135" s="38"/>
      <c r="Z135" s="49"/>
    </row>
    <row r="136" spans="1:26" ht="15.75" thickBot="1" x14ac:dyDescent="0.4">
      <c r="A136" s="13"/>
      <c r="B136" s="14" t="s">
        <v>48</v>
      </c>
      <c r="C136" s="14" t="s">
        <v>27</v>
      </c>
      <c r="D136" s="14" t="s">
        <v>47</v>
      </c>
      <c r="E136" s="14" t="s">
        <v>29</v>
      </c>
      <c r="F136" s="14" t="s">
        <v>44</v>
      </c>
      <c r="G136" s="14" t="s">
        <v>45</v>
      </c>
      <c r="H136" s="15" t="s">
        <v>137</v>
      </c>
      <c r="I136" s="14" t="s">
        <v>139</v>
      </c>
      <c r="J136" s="14" t="s">
        <v>145</v>
      </c>
      <c r="K136" s="14" t="s">
        <v>136</v>
      </c>
      <c r="L136" s="14" t="s">
        <v>134</v>
      </c>
      <c r="M136" s="14" t="s">
        <v>152</v>
      </c>
      <c r="N136" s="14" t="s">
        <v>32</v>
      </c>
      <c r="O136" s="14" t="s">
        <v>34</v>
      </c>
      <c r="P136" s="14" t="s">
        <v>133</v>
      </c>
      <c r="Q136" s="16" t="s">
        <v>143</v>
      </c>
      <c r="R136" s="14" t="s">
        <v>36</v>
      </c>
      <c r="S136" s="17" t="s">
        <v>38</v>
      </c>
      <c r="T136" s="14" t="s">
        <v>40</v>
      </c>
      <c r="U136" s="14" t="s">
        <v>42</v>
      </c>
      <c r="V136" s="38"/>
      <c r="W136" s="48"/>
      <c r="X136" s="48"/>
      <c r="Y136" s="38"/>
      <c r="Z136" s="49"/>
    </row>
    <row r="137" spans="1:26" ht="15.75" thickBot="1" x14ac:dyDescent="0.4">
      <c r="A137" s="39" t="s">
        <v>19</v>
      </c>
      <c r="B137" s="40"/>
      <c r="C137" s="40"/>
      <c r="D137" s="40"/>
      <c r="E137" s="40"/>
      <c r="F137" s="40"/>
      <c r="G137" s="40"/>
      <c r="H137" s="41"/>
      <c r="I137" s="41">
        <f>I139+I140+I141+I142+I143+I144+I145+I146</f>
        <v>792000</v>
      </c>
      <c r="J137" s="41">
        <f>J138+J139+J140+J141+J142+J143+J144+J145+J146</f>
        <v>6317200</v>
      </c>
      <c r="K137" s="40"/>
      <c r="L137" s="40"/>
      <c r="M137" s="40"/>
      <c r="N137" s="41"/>
      <c r="O137" s="41"/>
      <c r="P137" s="40"/>
      <c r="Q137" s="40"/>
      <c r="R137" s="40"/>
      <c r="S137" s="40"/>
      <c r="T137" s="40"/>
      <c r="U137" s="41">
        <f>H137+I137+J137+N137+O137</f>
        <v>7109200</v>
      </c>
      <c r="V137" s="38"/>
      <c r="W137" s="51"/>
      <c r="X137" s="51"/>
      <c r="Y137" s="38"/>
      <c r="Z137" s="49"/>
    </row>
    <row r="138" spans="1:26" x14ac:dyDescent="0.35">
      <c r="A138" s="25" t="s">
        <v>4</v>
      </c>
      <c r="B138" s="25"/>
      <c r="C138" s="25"/>
      <c r="D138" s="25"/>
      <c r="E138" s="25"/>
      <c r="F138" s="25"/>
      <c r="G138" s="25"/>
      <c r="H138" s="25"/>
      <c r="I138" s="25"/>
      <c r="J138" s="25">
        <v>10000</v>
      </c>
      <c r="K138" s="25"/>
      <c r="L138" s="25"/>
      <c r="M138" s="25"/>
      <c r="N138" s="43"/>
      <c r="O138" s="43"/>
      <c r="P138" s="25"/>
      <c r="Q138" s="43"/>
      <c r="R138" s="25"/>
      <c r="S138" s="25"/>
      <c r="T138" s="25"/>
      <c r="U138" s="25">
        <v>10000</v>
      </c>
      <c r="V138" s="44"/>
      <c r="W138" s="44">
        <v>60000</v>
      </c>
      <c r="X138" s="44"/>
      <c r="Y138" s="38"/>
      <c r="Z138" s="49"/>
    </row>
    <row r="139" spans="1:26" x14ac:dyDescent="0.35">
      <c r="A139" s="29" t="s">
        <v>74</v>
      </c>
      <c r="B139" s="29"/>
      <c r="C139" s="29"/>
      <c r="D139" s="29"/>
      <c r="E139" s="29"/>
      <c r="F139" s="29"/>
      <c r="G139" s="29"/>
      <c r="H139" s="29"/>
      <c r="I139" s="29">
        <f>V139/2</f>
        <v>72000</v>
      </c>
      <c r="J139" s="25">
        <f t="shared" ref="J139:J146" si="11">W139/2</f>
        <v>766000</v>
      </c>
      <c r="K139" s="29"/>
      <c r="L139" s="29"/>
      <c r="M139" s="29"/>
      <c r="N139" s="29"/>
      <c r="O139" s="45"/>
      <c r="P139" s="29"/>
      <c r="Q139" s="29"/>
      <c r="R139" s="29"/>
      <c r="S139" s="29"/>
      <c r="T139" s="29"/>
      <c r="U139" s="29">
        <f>H139+I139+J139+N139+O139</f>
        <v>838000</v>
      </c>
      <c r="V139" s="44">
        <v>144000</v>
      </c>
      <c r="W139" s="44">
        <f>1512000+20000</f>
        <v>1532000</v>
      </c>
      <c r="X139" s="44"/>
      <c r="Y139" s="52"/>
      <c r="Z139" s="49"/>
    </row>
    <row r="140" spans="1:26" x14ac:dyDescent="0.35">
      <c r="A140" s="29" t="s">
        <v>75</v>
      </c>
      <c r="B140" s="29"/>
      <c r="C140" s="29"/>
      <c r="D140" s="29"/>
      <c r="E140" s="29"/>
      <c r="F140" s="29"/>
      <c r="G140" s="29"/>
      <c r="H140" s="29"/>
      <c r="I140" s="29">
        <f t="shared" ref="I140:I146" si="12">V140/2</f>
        <v>192000</v>
      </c>
      <c r="J140" s="25">
        <f t="shared" si="11"/>
        <v>1365200</v>
      </c>
      <c r="K140" s="29"/>
      <c r="L140" s="29"/>
      <c r="M140" s="29"/>
      <c r="N140" s="29"/>
      <c r="O140" s="45"/>
      <c r="P140" s="29"/>
      <c r="Q140" s="29"/>
      <c r="R140" s="29"/>
      <c r="S140" s="29"/>
      <c r="T140" s="29"/>
      <c r="U140" s="29">
        <f t="shared" ref="U140:U146" si="13">H140+I140+J140+N140+O140</f>
        <v>1557200</v>
      </c>
      <c r="V140" s="44">
        <v>384000</v>
      </c>
      <c r="W140" s="44">
        <f>2710400+20000</f>
        <v>2730400</v>
      </c>
      <c r="X140" s="44"/>
      <c r="Y140" s="52"/>
      <c r="Z140" s="49"/>
    </row>
    <row r="141" spans="1:26" x14ac:dyDescent="0.35">
      <c r="A141" s="29" t="s">
        <v>76</v>
      </c>
      <c r="B141" s="29"/>
      <c r="C141" s="29"/>
      <c r="D141" s="29"/>
      <c r="E141" s="29"/>
      <c r="F141" s="29"/>
      <c r="G141" s="29"/>
      <c r="H141" s="29"/>
      <c r="I141" s="29">
        <f t="shared" si="12"/>
        <v>72000</v>
      </c>
      <c r="J141" s="25">
        <f t="shared" si="11"/>
        <v>906000</v>
      </c>
      <c r="K141" s="29"/>
      <c r="L141" s="29"/>
      <c r="M141" s="29"/>
      <c r="N141" s="29"/>
      <c r="O141" s="45"/>
      <c r="P141" s="29"/>
      <c r="Q141" s="29"/>
      <c r="R141" s="29"/>
      <c r="S141" s="29"/>
      <c r="T141" s="29"/>
      <c r="U141" s="29">
        <f t="shared" si="13"/>
        <v>978000</v>
      </c>
      <c r="V141" s="44">
        <v>144000</v>
      </c>
      <c r="W141" s="44">
        <f>1792000+20000</f>
        <v>1812000</v>
      </c>
      <c r="X141" s="44"/>
      <c r="Y141" s="52"/>
      <c r="Z141" s="49"/>
    </row>
    <row r="142" spans="1:26" x14ac:dyDescent="0.35">
      <c r="A142" s="29" t="s">
        <v>77</v>
      </c>
      <c r="B142" s="29"/>
      <c r="C142" s="29"/>
      <c r="D142" s="29"/>
      <c r="E142" s="29"/>
      <c r="F142" s="29"/>
      <c r="G142" s="29"/>
      <c r="H142" s="29"/>
      <c r="I142" s="29">
        <f t="shared" si="12"/>
        <v>72000</v>
      </c>
      <c r="J142" s="25">
        <f t="shared" si="11"/>
        <v>301200</v>
      </c>
      <c r="K142" s="29"/>
      <c r="L142" s="29"/>
      <c r="M142" s="29"/>
      <c r="N142" s="29"/>
      <c r="O142" s="45"/>
      <c r="P142" s="29"/>
      <c r="Q142" s="29"/>
      <c r="R142" s="29"/>
      <c r="S142" s="29"/>
      <c r="T142" s="29"/>
      <c r="U142" s="29">
        <f t="shared" si="13"/>
        <v>373200</v>
      </c>
      <c r="V142" s="44">
        <v>144000</v>
      </c>
      <c r="W142" s="44">
        <f>582400+20000</f>
        <v>602400</v>
      </c>
      <c r="X142" s="44"/>
      <c r="Y142" s="52"/>
      <c r="Z142" s="49"/>
    </row>
    <row r="143" spans="1:26" x14ac:dyDescent="0.35">
      <c r="A143" s="29" t="s">
        <v>78</v>
      </c>
      <c r="B143" s="29"/>
      <c r="C143" s="29"/>
      <c r="D143" s="29"/>
      <c r="E143" s="29"/>
      <c r="F143" s="29"/>
      <c r="G143" s="29"/>
      <c r="H143" s="29"/>
      <c r="I143" s="29">
        <f t="shared" si="12"/>
        <v>120000</v>
      </c>
      <c r="J143" s="25">
        <f t="shared" si="11"/>
        <v>855600</v>
      </c>
      <c r="K143" s="29"/>
      <c r="L143" s="29"/>
      <c r="M143" s="29"/>
      <c r="N143" s="29"/>
      <c r="O143" s="45"/>
      <c r="P143" s="29"/>
      <c r="Q143" s="29"/>
      <c r="R143" s="29"/>
      <c r="S143" s="29"/>
      <c r="T143" s="29"/>
      <c r="U143" s="29">
        <f t="shared" si="13"/>
        <v>975600</v>
      </c>
      <c r="V143" s="44">
        <v>240000</v>
      </c>
      <c r="W143" s="44">
        <f>1691200+20000</f>
        <v>1711200</v>
      </c>
      <c r="X143" s="44"/>
      <c r="Y143" s="52"/>
      <c r="Z143" s="49"/>
    </row>
    <row r="144" spans="1:26" x14ac:dyDescent="0.35">
      <c r="A144" s="29" t="s">
        <v>79</v>
      </c>
      <c r="B144" s="29"/>
      <c r="C144" s="29"/>
      <c r="D144" s="29"/>
      <c r="E144" s="29"/>
      <c r="F144" s="29"/>
      <c r="G144" s="29"/>
      <c r="H144" s="29"/>
      <c r="I144" s="29">
        <f t="shared" si="12"/>
        <v>72000</v>
      </c>
      <c r="J144" s="25">
        <f t="shared" si="11"/>
        <v>866800</v>
      </c>
      <c r="K144" s="29"/>
      <c r="L144" s="29"/>
      <c r="M144" s="29"/>
      <c r="N144" s="29"/>
      <c r="O144" s="45"/>
      <c r="P144" s="29"/>
      <c r="Q144" s="29"/>
      <c r="R144" s="29"/>
      <c r="S144" s="29"/>
      <c r="T144" s="29"/>
      <c r="U144" s="29">
        <f t="shared" si="13"/>
        <v>938800</v>
      </c>
      <c r="V144" s="44">
        <v>144000</v>
      </c>
      <c r="W144" s="44">
        <f>1713600+20000</f>
        <v>1733600</v>
      </c>
      <c r="X144" s="44"/>
      <c r="Y144" s="52"/>
      <c r="Z144" s="49"/>
    </row>
    <row r="145" spans="1:26" x14ac:dyDescent="0.35">
      <c r="A145" s="29" t="s">
        <v>80</v>
      </c>
      <c r="B145" s="29"/>
      <c r="C145" s="29"/>
      <c r="D145" s="29"/>
      <c r="E145" s="29"/>
      <c r="F145" s="29"/>
      <c r="G145" s="29"/>
      <c r="H145" s="29"/>
      <c r="I145" s="29">
        <f t="shared" si="12"/>
        <v>168000</v>
      </c>
      <c r="J145" s="25">
        <f t="shared" si="11"/>
        <v>973200</v>
      </c>
      <c r="K145" s="29"/>
      <c r="L145" s="29"/>
      <c r="M145" s="29"/>
      <c r="N145" s="29"/>
      <c r="O145" s="45"/>
      <c r="P145" s="29"/>
      <c r="Q145" s="29"/>
      <c r="R145" s="29"/>
      <c r="S145" s="29"/>
      <c r="T145" s="29"/>
      <c r="U145" s="29">
        <f t="shared" si="13"/>
        <v>1141200</v>
      </c>
      <c r="V145" s="44">
        <v>336000</v>
      </c>
      <c r="W145" s="44">
        <f>1926400+20000</f>
        <v>1946400</v>
      </c>
      <c r="X145" s="44"/>
      <c r="Y145" s="52"/>
      <c r="Z145" s="49"/>
    </row>
    <row r="146" spans="1:26" x14ac:dyDescent="0.35">
      <c r="A146" s="29" t="s">
        <v>81</v>
      </c>
      <c r="B146" s="29"/>
      <c r="C146" s="29"/>
      <c r="D146" s="29"/>
      <c r="E146" s="29"/>
      <c r="F146" s="29"/>
      <c r="G146" s="29"/>
      <c r="H146" s="29"/>
      <c r="I146" s="29">
        <f t="shared" si="12"/>
        <v>24000</v>
      </c>
      <c r="J146" s="25">
        <f t="shared" si="11"/>
        <v>273200</v>
      </c>
      <c r="K146" s="29"/>
      <c r="L146" s="29"/>
      <c r="M146" s="29"/>
      <c r="N146" s="29"/>
      <c r="O146" s="45"/>
      <c r="P146" s="29"/>
      <c r="Q146" s="29"/>
      <c r="R146" s="29"/>
      <c r="S146" s="29"/>
      <c r="T146" s="29"/>
      <c r="U146" s="29">
        <f t="shared" si="13"/>
        <v>297200</v>
      </c>
      <c r="V146" s="44">
        <v>48000</v>
      </c>
      <c r="W146" s="44">
        <f>526400+20000</f>
        <v>546400</v>
      </c>
      <c r="X146" s="44"/>
      <c r="Y146" s="52"/>
      <c r="Z146" s="49"/>
    </row>
    <row r="147" spans="1:26" x14ac:dyDescent="0.35">
      <c r="J147" s="18"/>
      <c r="N147" s="55"/>
      <c r="O147" s="55"/>
      <c r="U147" s="55"/>
      <c r="V147" s="38"/>
      <c r="W147" s="38"/>
      <c r="X147" s="38"/>
      <c r="Y147" s="38"/>
      <c r="Z147" s="49"/>
    </row>
    <row r="148" spans="1:26" ht="21.75" x14ac:dyDescent="0.5">
      <c r="A148" s="2" t="s">
        <v>160</v>
      </c>
      <c r="B148" s="2"/>
      <c r="C148" s="2"/>
      <c r="D148" s="2"/>
      <c r="E148" s="2"/>
      <c r="F148" s="2"/>
      <c r="G148" s="2"/>
      <c r="H148" s="4"/>
      <c r="I148" s="2"/>
      <c r="J148" s="2"/>
      <c r="K148" s="2"/>
      <c r="L148" s="2"/>
      <c r="M148" s="2"/>
      <c r="N148" s="4"/>
      <c r="O148" s="2"/>
      <c r="P148" s="2"/>
      <c r="Q148" s="2"/>
      <c r="R148" s="2"/>
      <c r="S148" s="2"/>
      <c r="T148" s="2"/>
      <c r="U148" s="3"/>
      <c r="V148" s="38"/>
      <c r="W148" s="38"/>
      <c r="X148" s="38"/>
      <c r="Y148" s="38"/>
    </row>
    <row r="149" spans="1:26" ht="16.5" x14ac:dyDescent="0.4">
      <c r="A149" s="5" t="s">
        <v>156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38"/>
      <c r="W149" s="38"/>
      <c r="X149" s="38"/>
      <c r="Y149" s="38"/>
    </row>
    <row r="150" spans="1:26" ht="16.5" x14ac:dyDescent="0.4">
      <c r="A150" s="5" t="s">
        <v>153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38"/>
      <c r="W150" s="38"/>
      <c r="X150" s="38"/>
      <c r="Y150" s="38"/>
    </row>
    <row r="151" spans="1:26" ht="16.5" x14ac:dyDescent="0.4">
      <c r="A151" s="5" t="s">
        <v>157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38"/>
      <c r="W151" s="38"/>
      <c r="X151" s="38"/>
      <c r="Y151" s="38"/>
    </row>
    <row r="152" spans="1:26" ht="16.5" x14ac:dyDescent="0.4">
      <c r="A152" s="5" t="s">
        <v>154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38"/>
      <c r="W152" s="38"/>
      <c r="X152" s="38"/>
      <c r="Y152" s="38"/>
    </row>
    <row r="153" spans="1:26" ht="16.5" x14ac:dyDescent="0.4">
      <c r="A153" s="5" t="s">
        <v>158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38"/>
      <c r="W153" s="38"/>
      <c r="X153" s="38"/>
      <c r="Y153" s="38"/>
    </row>
    <row r="154" spans="1:26" ht="16.5" x14ac:dyDescent="0.4">
      <c r="A154" s="5" t="s">
        <v>155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38"/>
      <c r="W154" s="38"/>
      <c r="X154" s="38"/>
      <c r="Y154" s="38"/>
    </row>
    <row r="155" spans="1:26" ht="16.5" x14ac:dyDescent="0.4">
      <c r="A155" s="5" t="s">
        <v>159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38"/>
      <c r="W155" s="38"/>
      <c r="X155" s="38"/>
      <c r="Y155" s="38"/>
    </row>
    <row r="156" spans="1:26" ht="16.5" x14ac:dyDescent="0.4">
      <c r="A156" s="5" t="s">
        <v>164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38"/>
      <c r="W156" s="38"/>
      <c r="X156" s="38"/>
      <c r="Y156" s="38"/>
    </row>
    <row r="157" spans="1:26" ht="16.5" x14ac:dyDescent="0.4">
      <c r="A157" s="5" t="s">
        <v>162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38"/>
      <c r="W157" s="38"/>
      <c r="X157" s="38"/>
      <c r="Y157" s="38"/>
    </row>
    <row r="158" spans="1:26" ht="16.5" x14ac:dyDescent="0.4">
      <c r="A158" s="5" t="s">
        <v>150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38"/>
      <c r="W158" s="38"/>
      <c r="X158" s="38"/>
      <c r="Y158" s="38"/>
    </row>
    <row r="159" spans="1:26" ht="16.5" x14ac:dyDescent="0.4">
      <c r="A159" s="5" t="s">
        <v>151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38"/>
      <c r="W159" s="38"/>
      <c r="X159" s="38"/>
      <c r="Y159" s="38"/>
    </row>
    <row r="160" spans="1:26" x14ac:dyDescent="0.35">
      <c r="V160" s="38"/>
      <c r="W160" s="38"/>
      <c r="X160" s="38"/>
      <c r="Y160" s="38"/>
    </row>
    <row r="161" spans="1:25" x14ac:dyDescent="0.35">
      <c r="V161" s="38"/>
      <c r="W161" s="38"/>
      <c r="X161" s="38"/>
      <c r="Y161" s="38"/>
    </row>
    <row r="162" spans="1:25" x14ac:dyDescent="0.35">
      <c r="V162" s="38"/>
      <c r="W162" s="38"/>
      <c r="X162" s="38"/>
      <c r="Y162" s="38"/>
    </row>
    <row r="163" spans="1:25" x14ac:dyDescent="0.35">
      <c r="V163" s="38"/>
      <c r="W163" s="38"/>
      <c r="X163" s="38"/>
      <c r="Y163" s="38"/>
    </row>
    <row r="164" spans="1:25" x14ac:dyDescent="0.35">
      <c r="V164" s="38"/>
      <c r="W164" s="38"/>
      <c r="X164" s="38"/>
      <c r="Y164" s="38"/>
    </row>
    <row r="165" spans="1:25" x14ac:dyDescent="0.35">
      <c r="V165" s="38"/>
      <c r="W165" s="38"/>
      <c r="X165" s="38"/>
      <c r="Y165" s="38"/>
    </row>
    <row r="166" spans="1:25" x14ac:dyDescent="0.35">
      <c r="V166" s="38"/>
      <c r="W166" s="38"/>
      <c r="X166" s="38"/>
      <c r="Y166" s="38"/>
    </row>
    <row r="167" spans="1:25" x14ac:dyDescent="0.35">
      <c r="A167" s="7" t="s">
        <v>5</v>
      </c>
      <c r="V167" s="38"/>
      <c r="W167" s="38"/>
      <c r="X167" s="38"/>
      <c r="Y167" s="38"/>
    </row>
    <row r="168" spans="1:25" x14ac:dyDescent="0.35">
      <c r="A168" s="10" t="s">
        <v>0</v>
      </c>
      <c r="B168" s="11" t="s">
        <v>46</v>
      </c>
      <c r="C168" s="11" t="s">
        <v>26</v>
      </c>
      <c r="D168" s="11" t="s">
        <v>46</v>
      </c>
      <c r="E168" s="11" t="s">
        <v>28</v>
      </c>
      <c r="F168" s="11" t="s">
        <v>43</v>
      </c>
      <c r="G168" s="11" t="s">
        <v>43</v>
      </c>
      <c r="H168" s="11" t="s">
        <v>14</v>
      </c>
      <c r="I168" s="11" t="s">
        <v>138</v>
      </c>
      <c r="J168" s="11" t="s">
        <v>30</v>
      </c>
      <c r="K168" s="11" t="s">
        <v>135</v>
      </c>
      <c r="L168" s="11" t="s">
        <v>13</v>
      </c>
      <c r="M168" s="11" t="s">
        <v>13</v>
      </c>
      <c r="N168" s="11" t="s">
        <v>31</v>
      </c>
      <c r="O168" s="11" t="s">
        <v>33</v>
      </c>
      <c r="P168" s="11" t="s">
        <v>33</v>
      </c>
      <c r="Q168" s="11" t="s">
        <v>144</v>
      </c>
      <c r="R168" s="11" t="s">
        <v>35</v>
      </c>
      <c r="S168" s="12" t="s">
        <v>37</v>
      </c>
      <c r="T168" s="11" t="s">
        <v>39</v>
      </c>
      <c r="U168" s="11" t="s">
        <v>41</v>
      </c>
      <c r="V168" s="38"/>
      <c r="W168" s="48"/>
      <c r="X168" s="48"/>
      <c r="Y168" s="38"/>
    </row>
    <row r="169" spans="1:25" ht="15.75" thickBot="1" x14ac:dyDescent="0.4">
      <c r="A169" s="13"/>
      <c r="B169" s="14" t="s">
        <v>48</v>
      </c>
      <c r="C169" s="14" t="s">
        <v>27</v>
      </c>
      <c r="D169" s="14" t="s">
        <v>47</v>
      </c>
      <c r="E169" s="14" t="s">
        <v>29</v>
      </c>
      <c r="F169" s="14" t="s">
        <v>44</v>
      </c>
      <c r="G169" s="14" t="s">
        <v>45</v>
      </c>
      <c r="H169" s="15" t="s">
        <v>137</v>
      </c>
      <c r="I169" s="14" t="s">
        <v>139</v>
      </c>
      <c r="J169" s="14" t="s">
        <v>145</v>
      </c>
      <c r="K169" s="14" t="s">
        <v>136</v>
      </c>
      <c r="L169" s="14" t="s">
        <v>134</v>
      </c>
      <c r="M169" s="14" t="s">
        <v>152</v>
      </c>
      <c r="N169" s="14" t="s">
        <v>32</v>
      </c>
      <c r="O169" s="14" t="s">
        <v>34</v>
      </c>
      <c r="P169" s="14" t="s">
        <v>133</v>
      </c>
      <c r="Q169" s="16" t="s">
        <v>143</v>
      </c>
      <c r="R169" s="14" t="s">
        <v>36</v>
      </c>
      <c r="S169" s="17" t="s">
        <v>38</v>
      </c>
      <c r="T169" s="14" t="s">
        <v>40</v>
      </c>
      <c r="U169" s="14" t="s">
        <v>42</v>
      </c>
      <c r="V169" s="38"/>
      <c r="W169" s="48"/>
      <c r="X169" s="48"/>
      <c r="Y169" s="38"/>
    </row>
    <row r="170" spans="1:25" ht="15.75" thickBot="1" x14ac:dyDescent="0.4">
      <c r="A170" s="39" t="s">
        <v>20</v>
      </c>
      <c r="B170" s="40"/>
      <c r="C170" s="40"/>
      <c r="D170" s="40"/>
      <c r="E170" s="40"/>
      <c r="F170" s="40"/>
      <c r="G170" s="40"/>
      <c r="H170" s="50"/>
      <c r="I170" s="50">
        <f>I172+I173+I174+I175+I176+I177+I178+I179+I180+I181+I182+I183</f>
        <v>1104000</v>
      </c>
      <c r="J170" s="50">
        <f>J171+J172+J173+J174+J175+J176+J177+J178+J179+J180+J181+J182+J183</f>
        <v>6771600</v>
      </c>
      <c r="K170" s="40"/>
      <c r="L170" s="40"/>
      <c r="M170" s="40"/>
      <c r="N170" s="50"/>
      <c r="O170" s="50"/>
      <c r="P170" s="40"/>
      <c r="Q170" s="59"/>
      <c r="R170" s="40"/>
      <c r="S170" s="40"/>
      <c r="T170" s="40"/>
      <c r="U170" s="50">
        <f>H170+I170+J170+N170+O170</f>
        <v>7875600</v>
      </c>
      <c r="V170" s="38"/>
      <c r="W170" s="51"/>
      <c r="X170" s="51"/>
      <c r="Y170" s="38"/>
    </row>
    <row r="171" spans="1:25" x14ac:dyDescent="0.35">
      <c r="A171" s="25" t="s">
        <v>146</v>
      </c>
      <c r="B171" s="25"/>
      <c r="C171" s="25"/>
      <c r="D171" s="25"/>
      <c r="E171" s="25"/>
      <c r="F171" s="25"/>
      <c r="G171" s="25"/>
      <c r="H171" s="43"/>
      <c r="I171" s="43"/>
      <c r="J171" s="25">
        <v>10000</v>
      </c>
      <c r="K171" s="25"/>
      <c r="L171" s="25"/>
      <c r="M171" s="25"/>
      <c r="N171" s="43"/>
      <c r="O171" s="43"/>
      <c r="P171" s="25"/>
      <c r="Q171" s="43"/>
      <c r="R171" s="25"/>
      <c r="S171" s="25"/>
      <c r="T171" s="25"/>
      <c r="U171" s="56">
        <f t="shared" ref="U171:U183" si="14">H171+I171+J171+N171+O171</f>
        <v>10000</v>
      </c>
      <c r="V171" s="44"/>
      <c r="W171" s="44">
        <v>60000</v>
      </c>
      <c r="X171" s="44"/>
      <c r="Y171" s="38"/>
    </row>
    <row r="172" spans="1:25" x14ac:dyDescent="0.35">
      <c r="A172" s="29" t="s">
        <v>82</v>
      </c>
      <c r="B172" s="29"/>
      <c r="C172" s="29"/>
      <c r="D172" s="29"/>
      <c r="E172" s="29"/>
      <c r="F172" s="29"/>
      <c r="G172" s="29"/>
      <c r="H172" s="29"/>
      <c r="I172" s="29">
        <f>V172/2</f>
        <v>96000</v>
      </c>
      <c r="J172" s="25">
        <f t="shared" ref="J172:J183" si="15">W172/2</f>
        <v>620400</v>
      </c>
      <c r="K172" s="29"/>
      <c r="L172" s="29"/>
      <c r="M172" s="29"/>
      <c r="N172" s="29"/>
      <c r="O172" s="45"/>
      <c r="P172" s="29"/>
      <c r="Q172" s="29"/>
      <c r="R172" s="29"/>
      <c r="S172" s="29"/>
      <c r="T172" s="29"/>
      <c r="U172" s="57">
        <f t="shared" si="14"/>
        <v>716400</v>
      </c>
      <c r="V172" s="44">
        <v>192000</v>
      </c>
      <c r="W172" s="44">
        <f>1220800+20000</f>
        <v>1240800</v>
      </c>
      <c r="X172" s="44"/>
      <c r="Y172" s="38"/>
    </row>
    <row r="173" spans="1:25" x14ac:dyDescent="0.35">
      <c r="A173" s="29" t="s">
        <v>83</v>
      </c>
      <c r="B173" s="29"/>
      <c r="C173" s="29"/>
      <c r="D173" s="29"/>
      <c r="E173" s="29"/>
      <c r="F173" s="29"/>
      <c r="G173" s="29"/>
      <c r="H173" s="29"/>
      <c r="I173" s="29">
        <f t="shared" ref="I173:I183" si="16">V173/2</f>
        <v>216000</v>
      </c>
      <c r="J173" s="25">
        <f t="shared" si="15"/>
        <v>850000</v>
      </c>
      <c r="K173" s="29"/>
      <c r="L173" s="29"/>
      <c r="M173" s="29"/>
      <c r="N173" s="29"/>
      <c r="O173" s="45"/>
      <c r="P173" s="29"/>
      <c r="Q173" s="29"/>
      <c r="R173" s="29"/>
      <c r="S173" s="29"/>
      <c r="T173" s="29"/>
      <c r="U173" s="57">
        <f t="shared" si="14"/>
        <v>1066000</v>
      </c>
      <c r="V173" s="44">
        <v>432000</v>
      </c>
      <c r="W173" s="44">
        <f>1680000+20000</f>
        <v>1700000</v>
      </c>
      <c r="X173" s="44"/>
      <c r="Y173" s="38"/>
    </row>
    <row r="174" spans="1:25" x14ac:dyDescent="0.35">
      <c r="A174" s="29" t="s">
        <v>84</v>
      </c>
      <c r="B174" s="29"/>
      <c r="C174" s="29"/>
      <c r="D174" s="29"/>
      <c r="E174" s="29"/>
      <c r="F174" s="29"/>
      <c r="G174" s="29"/>
      <c r="H174" s="29"/>
      <c r="I174" s="29">
        <f t="shared" si="16"/>
        <v>24000</v>
      </c>
      <c r="J174" s="25">
        <f t="shared" si="15"/>
        <v>502800</v>
      </c>
      <c r="K174" s="29"/>
      <c r="L174" s="29"/>
      <c r="M174" s="29"/>
      <c r="N174" s="29"/>
      <c r="O174" s="45"/>
      <c r="P174" s="29"/>
      <c r="Q174" s="29"/>
      <c r="R174" s="29"/>
      <c r="S174" s="29"/>
      <c r="T174" s="29"/>
      <c r="U174" s="57">
        <f t="shared" si="14"/>
        <v>526800</v>
      </c>
      <c r="V174" s="44">
        <v>48000</v>
      </c>
      <c r="W174" s="44">
        <f>985600+20000</f>
        <v>1005600</v>
      </c>
      <c r="X174" s="44"/>
      <c r="Y174" s="38"/>
    </row>
    <row r="175" spans="1:25" x14ac:dyDescent="0.35">
      <c r="A175" s="29" t="s">
        <v>85</v>
      </c>
      <c r="B175" s="29"/>
      <c r="C175" s="29"/>
      <c r="D175" s="29"/>
      <c r="E175" s="29"/>
      <c r="F175" s="29"/>
      <c r="G175" s="29"/>
      <c r="H175" s="29"/>
      <c r="I175" s="29">
        <f t="shared" si="16"/>
        <v>24000</v>
      </c>
      <c r="J175" s="25">
        <f t="shared" si="15"/>
        <v>351600</v>
      </c>
      <c r="K175" s="29"/>
      <c r="L175" s="29"/>
      <c r="M175" s="29"/>
      <c r="N175" s="29"/>
      <c r="O175" s="45"/>
      <c r="P175" s="29"/>
      <c r="Q175" s="29"/>
      <c r="R175" s="29"/>
      <c r="S175" s="29"/>
      <c r="T175" s="29"/>
      <c r="U175" s="57">
        <f t="shared" si="14"/>
        <v>375600</v>
      </c>
      <c r="V175" s="44">
        <v>48000</v>
      </c>
      <c r="W175" s="44">
        <f>683200+20000</f>
        <v>703200</v>
      </c>
      <c r="X175" s="44"/>
      <c r="Y175" s="38"/>
    </row>
    <row r="176" spans="1:25" x14ac:dyDescent="0.35">
      <c r="A176" s="29" t="s">
        <v>86</v>
      </c>
      <c r="B176" s="29"/>
      <c r="C176" s="29"/>
      <c r="D176" s="29"/>
      <c r="E176" s="29"/>
      <c r="F176" s="29"/>
      <c r="G176" s="29"/>
      <c r="H176" s="29"/>
      <c r="I176" s="29">
        <f t="shared" si="16"/>
        <v>144000</v>
      </c>
      <c r="J176" s="25">
        <f t="shared" si="15"/>
        <v>626000</v>
      </c>
      <c r="K176" s="29"/>
      <c r="L176" s="29"/>
      <c r="M176" s="29"/>
      <c r="N176" s="29"/>
      <c r="O176" s="45"/>
      <c r="P176" s="29"/>
      <c r="Q176" s="29"/>
      <c r="R176" s="29"/>
      <c r="S176" s="29"/>
      <c r="T176" s="29"/>
      <c r="U176" s="57">
        <f t="shared" si="14"/>
        <v>770000</v>
      </c>
      <c r="V176" s="44">
        <v>288000</v>
      </c>
      <c r="W176" s="44">
        <f>1232000+20000</f>
        <v>1252000</v>
      </c>
      <c r="X176" s="44"/>
      <c r="Y176" s="38"/>
    </row>
    <row r="177" spans="1:25" x14ac:dyDescent="0.35">
      <c r="A177" s="29" t="s">
        <v>87</v>
      </c>
      <c r="B177" s="29"/>
      <c r="C177" s="29"/>
      <c r="D177" s="29"/>
      <c r="E177" s="29"/>
      <c r="F177" s="29"/>
      <c r="G177" s="29"/>
      <c r="H177" s="29"/>
      <c r="I177" s="29">
        <f t="shared" si="16"/>
        <v>24000</v>
      </c>
      <c r="J177" s="25">
        <f t="shared" si="15"/>
        <v>368400</v>
      </c>
      <c r="K177" s="29"/>
      <c r="L177" s="29"/>
      <c r="M177" s="29"/>
      <c r="N177" s="29"/>
      <c r="O177" s="45"/>
      <c r="P177" s="29"/>
      <c r="Q177" s="29"/>
      <c r="R177" s="29"/>
      <c r="S177" s="29"/>
      <c r="T177" s="29"/>
      <c r="U177" s="57">
        <f t="shared" si="14"/>
        <v>392400</v>
      </c>
      <c r="V177" s="44">
        <v>48000</v>
      </c>
      <c r="W177" s="44">
        <f>716800+20000</f>
        <v>736800</v>
      </c>
      <c r="X177" s="44"/>
      <c r="Y177" s="38"/>
    </row>
    <row r="178" spans="1:25" x14ac:dyDescent="0.35">
      <c r="A178" s="29" t="s">
        <v>88</v>
      </c>
      <c r="B178" s="29"/>
      <c r="C178" s="29"/>
      <c r="D178" s="29"/>
      <c r="E178" s="29"/>
      <c r="F178" s="29"/>
      <c r="G178" s="29"/>
      <c r="H178" s="29"/>
      <c r="I178" s="29">
        <f t="shared" si="16"/>
        <v>144000</v>
      </c>
      <c r="J178" s="25">
        <f t="shared" si="15"/>
        <v>855600</v>
      </c>
      <c r="K178" s="29"/>
      <c r="L178" s="29"/>
      <c r="M178" s="29"/>
      <c r="N178" s="29"/>
      <c r="O178" s="45"/>
      <c r="P178" s="29"/>
      <c r="Q178" s="29"/>
      <c r="R178" s="29"/>
      <c r="S178" s="29"/>
      <c r="T178" s="29"/>
      <c r="U178" s="57">
        <f t="shared" si="14"/>
        <v>999600</v>
      </c>
      <c r="V178" s="44">
        <v>288000</v>
      </c>
      <c r="W178" s="44">
        <f>1691200+20000</f>
        <v>1711200</v>
      </c>
      <c r="X178" s="44"/>
      <c r="Y178" s="38"/>
    </row>
    <row r="179" spans="1:25" x14ac:dyDescent="0.35">
      <c r="A179" s="29" t="s">
        <v>89</v>
      </c>
      <c r="B179" s="29"/>
      <c r="C179" s="29"/>
      <c r="D179" s="29"/>
      <c r="E179" s="29"/>
      <c r="F179" s="29"/>
      <c r="G179" s="29"/>
      <c r="H179" s="29"/>
      <c r="I179" s="29">
        <f t="shared" si="16"/>
        <v>72000</v>
      </c>
      <c r="J179" s="25">
        <f t="shared" si="15"/>
        <v>542000</v>
      </c>
      <c r="K179" s="29"/>
      <c r="L179" s="29"/>
      <c r="M179" s="29"/>
      <c r="N179" s="29"/>
      <c r="O179" s="45"/>
      <c r="P179" s="29"/>
      <c r="Q179" s="29"/>
      <c r="R179" s="29"/>
      <c r="S179" s="29"/>
      <c r="T179" s="29"/>
      <c r="U179" s="57">
        <f t="shared" si="14"/>
        <v>614000</v>
      </c>
      <c r="V179" s="44">
        <v>144000</v>
      </c>
      <c r="W179" s="44">
        <f>1064000+20000</f>
        <v>1084000</v>
      </c>
      <c r="X179" s="44"/>
      <c r="Y179" s="38"/>
    </row>
    <row r="180" spans="1:25" x14ac:dyDescent="0.35">
      <c r="A180" s="29" t="s">
        <v>90</v>
      </c>
      <c r="B180" s="29"/>
      <c r="C180" s="29"/>
      <c r="D180" s="29"/>
      <c r="E180" s="29"/>
      <c r="F180" s="29"/>
      <c r="G180" s="29"/>
      <c r="H180" s="29"/>
      <c r="I180" s="29">
        <f t="shared" si="16"/>
        <v>96000</v>
      </c>
      <c r="J180" s="25">
        <f t="shared" si="15"/>
        <v>810800</v>
      </c>
      <c r="K180" s="29"/>
      <c r="L180" s="29"/>
      <c r="M180" s="29"/>
      <c r="N180" s="29"/>
      <c r="O180" s="45"/>
      <c r="P180" s="29"/>
      <c r="Q180" s="29"/>
      <c r="R180" s="29"/>
      <c r="S180" s="29"/>
      <c r="T180" s="29"/>
      <c r="U180" s="57">
        <f t="shared" si="14"/>
        <v>906800</v>
      </c>
      <c r="V180" s="44">
        <v>192000</v>
      </c>
      <c r="W180" s="44">
        <f>1601600+20000</f>
        <v>1621600</v>
      </c>
      <c r="X180" s="44"/>
      <c r="Y180" s="38"/>
    </row>
    <row r="181" spans="1:25" x14ac:dyDescent="0.35">
      <c r="A181" s="29" t="s">
        <v>91</v>
      </c>
      <c r="B181" s="29"/>
      <c r="C181" s="29"/>
      <c r="D181" s="29"/>
      <c r="E181" s="29"/>
      <c r="F181" s="29"/>
      <c r="G181" s="29"/>
      <c r="H181" s="29"/>
      <c r="I181" s="29">
        <f t="shared" si="16"/>
        <v>48000</v>
      </c>
      <c r="J181" s="25">
        <f t="shared" si="15"/>
        <v>385200</v>
      </c>
      <c r="K181" s="29"/>
      <c r="L181" s="29"/>
      <c r="M181" s="29"/>
      <c r="N181" s="29"/>
      <c r="O181" s="45"/>
      <c r="P181" s="29"/>
      <c r="Q181" s="29"/>
      <c r="R181" s="29"/>
      <c r="S181" s="29"/>
      <c r="T181" s="29"/>
      <c r="U181" s="57">
        <f t="shared" si="14"/>
        <v>433200</v>
      </c>
      <c r="V181" s="44">
        <v>96000</v>
      </c>
      <c r="W181" s="44">
        <f>750400+20000</f>
        <v>770400</v>
      </c>
      <c r="X181" s="44"/>
      <c r="Y181" s="38"/>
    </row>
    <row r="182" spans="1:25" x14ac:dyDescent="0.35">
      <c r="A182" s="29" t="s">
        <v>92</v>
      </c>
      <c r="B182" s="29"/>
      <c r="C182" s="29"/>
      <c r="D182" s="29"/>
      <c r="E182" s="29"/>
      <c r="F182" s="29"/>
      <c r="G182" s="29"/>
      <c r="H182" s="29"/>
      <c r="I182" s="29">
        <f t="shared" si="16"/>
        <v>72000</v>
      </c>
      <c r="J182" s="25">
        <f t="shared" si="15"/>
        <v>194800</v>
      </c>
      <c r="K182" s="29"/>
      <c r="L182" s="29"/>
      <c r="M182" s="29"/>
      <c r="N182" s="29"/>
      <c r="O182" s="45"/>
      <c r="P182" s="29"/>
      <c r="Q182" s="29"/>
      <c r="R182" s="29"/>
      <c r="S182" s="29"/>
      <c r="T182" s="29"/>
      <c r="U182" s="57">
        <f t="shared" si="14"/>
        <v>266800</v>
      </c>
      <c r="V182" s="44">
        <v>144000</v>
      </c>
      <c r="W182" s="44">
        <f>369600+20000</f>
        <v>389600</v>
      </c>
      <c r="X182" s="44"/>
      <c r="Y182" s="38"/>
    </row>
    <row r="183" spans="1:25" x14ac:dyDescent="0.35">
      <c r="A183" s="29" t="s">
        <v>93</v>
      </c>
      <c r="B183" s="29"/>
      <c r="C183" s="29"/>
      <c r="D183" s="29"/>
      <c r="E183" s="29"/>
      <c r="F183" s="29"/>
      <c r="G183" s="29"/>
      <c r="H183" s="29"/>
      <c r="I183" s="29">
        <f t="shared" si="16"/>
        <v>144000</v>
      </c>
      <c r="J183" s="25">
        <f t="shared" si="15"/>
        <v>654000</v>
      </c>
      <c r="K183" s="29"/>
      <c r="L183" s="29"/>
      <c r="M183" s="29"/>
      <c r="N183" s="29"/>
      <c r="O183" s="45"/>
      <c r="P183" s="29"/>
      <c r="Q183" s="29"/>
      <c r="R183" s="29"/>
      <c r="S183" s="29"/>
      <c r="T183" s="29"/>
      <c r="U183" s="57">
        <f t="shared" si="14"/>
        <v>798000</v>
      </c>
      <c r="V183" s="44">
        <v>288000</v>
      </c>
      <c r="W183" s="44">
        <f>1288000+20000</f>
        <v>1308000</v>
      </c>
      <c r="X183" s="44"/>
      <c r="Y183" s="38"/>
    </row>
    <row r="184" spans="1:25" ht="21.75" x14ac:dyDescent="0.5">
      <c r="A184" s="2" t="s">
        <v>160</v>
      </c>
      <c r="B184" s="2"/>
      <c r="C184" s="2"/>
      <c r="D184" s="2"/>
      <c r="E184" s="2"/>
      <c r="F184" s="2"/>
      <c r="G184" s="2"/>
      <c r="H184" s="4"/>
      <c r="I184" s="2"/>
      <c r="J184" s="2"/>
      <c r="K184" s="2"/>
      <c r="L184" s="2"/>
      <c r="M184" s="2"/>
      <c r="N184" s="4"/>
      <c r="O184" s="2"/>
      <c r="P184" s="2"/>
      <c r="Q184" s="2"/>
      <c r="R184" s="2"/>
      <c r="S184" s="2"/>
      <c r="T184" s="2"/>
      <c r="U184" s="3"/>
      <c r="V184" s="38"/>
      <c r="W184" s="38"/>
      <c r="X184" s="38"/>
      <c r="Y184" s="38"/>
    </row>
    <row r="185" spans="1:25" ht="16.5" x14ac:dyDescent="0.4">
      <c r="A185" s="5" t="s">
        <v>156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38"/>
      <c r="W185" s="38"/>
      <c r="X185" s="38"/>
      <c r="Y185" s="38"/>
    </row>
    <row r="186" spans="1:25" ht="16.5" x14ac:dyDescent="0.4">
      <c r="A186" s="5" t="s">
        <v>153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38"/>
      <c r="W186" s="38"/>
      <c r="X186" s="38"/>
      <c r="Y186" s="38"/>
    </row>
    <row r="187" spans="1:25" ht="16.5" x14ac:dyDescent="0.4">
      <c r="A187" s="5" t="s">
        <v>157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38"/>
      <c r="W187" s="38"/>
      <c r="X187" s="38"/>
      <c r="Y187" s="38"/>
    </row>
    <row r="188" spans="1:25" ht="16.5" x14ac:dyDescent="0.4">
      <c r="A188" s="5" t="s">
        <v>154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38"/>
      <c r="W188" s="38"/>
      <c r="X188" s="38"/>
      <c r="Y188" s="38"/>
    </row>
    <row r="189" spans="1:25" ht="16.5" x14ac:dyDescent="0.4">
      <c r="A189" s="5" t="s">
        <v>158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38"/>
      <c r="W189" s="38"/>
      <c r="X189" s="38"/>
      <c r="Y189" s="38"/>
    </row>
    <row r="190" spans="1:25" ht="16.5" x14ac:dyDescent="0.4">
      <c r="A190" s="5" t="s">
        <v>155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38"/>
      <c r="W190" s="38"/>
      <c r="X190" s="38"/>
      <c r="Y190" s="38"/>
    </row>
    <row r="191" spans="1:25" ht="16.5" x14ac:dyDescent="0.4">
      <c r="A191" s="5" t="s">
        <v>159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38"/>
      <c r="W191" s="38"/>
      <c r="X191" s="38"/>
      <c r="Y191" s="38"/>
    </row>
    <row r="192" spans="1:25" ht="16.5" x14ac:dyDescent="0.4">
      <c r="A192" s="5" t="s">
        <v>164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38"/>
      <c r="W192" s="38"/>
      <c r="X192" s="38"/>
      <c r="Y192" s="38"/>
    </row>
    <row r="193" spans="1:25" ht="16.5" x14ac:dyDescent="0.4">
      <c r="A193" s="5" t="s">
        <v>162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38"/>
      <c r="W193" s="38"/>
      <c r="X193" s="38"/>
      <c r="Y193" s="38"/>
    </row>
    <row r="194" spans="1:25" ht="16.5" x14ac:dyDescent="0.4">
      <c r="A194" s="5" t="s">
        <v>150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38"/>
      <c r="W194" s="38"/>
      <c r="X194" s="38"/>
      <c r="Y194" s="38"/>
    </row>
    <row r="195" spans="1:25" ht="16.5" x14ac:dyDescent="0.4">
      <c r="A195" s="5" t="s">
        <v>151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38"/>
      <c r="W195" s="38"/>
      <c r="X195" s="38"/>
      <c r="Y195" s="38"/>
    </row>
    <row r="196" spans="1:25" ht="16.5" x14ac:dyDescent="0.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5"/>
      <c r="O196" s="5"/>
      <c r="P196" s="5"/>
      <c r="Q196" s="5"/>
      <c r="R196" s="5"/>
      <c r="S196" s="5"/>
      <c r="T196" s="5"/>
      <c r="U196" s="5"/>
      <c r="V196" s="38"/>
      <c r="W196" s="38"/>
      <c r="X196" s="38"/>
      <c r="Y196" s="38"/>
    </row>
    <row r="197" spans="1:25" ht="16.5" x14ac:dyDescent="0.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5"/>
      <c r="O197" s="5"/>
      <c r="P197" s="5"/>
      <c r="Q197" s="5"/>
      <c r="R197" s="5"/>
      <c r="S197" s="5"/>
      <c r="T197" s="5"/>
      <c r="U197" s="5"/>
      <c r="V197" s="38"/>
      <c r="W197" s="38"/>
      <c r="X197" s="38"/>
      <c r="Y197" s="38"/>
    </row>
    <row r="198" spans="1:25" ht="16.5" x14ac:dyDescent="0.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5"/>
      <c r="O198" s="5"/>
      <c r="P198" s="5"/>
      <c r="Q198" s="5"/>
      <c r="R198" s="5"/>
      <c r="S198" s="5"/>
      <c r="T198" s="5"/>
      <c r="U198" s="5"/>
      <c r="V198" s="38"/>
      <c r="W198" s="38"/>
      <c r="X198" s="38"/>
      <c r="Y198" s="38"/>
    </row>
    <row r="199" spans="1:25" x14ac:dyDescent="0.35">
      <c r="V199" s="38"/>
      <c r="W199" s="38"/>
      <c r="X199" s="38"/>
      <c r="Y199" s="38"/>
    </row>
    <row r="200" spans="1:25" x14ac:dyDescent="0.35">
      <c r="A200" s="7" t="s">
        <v>6</v>
      </c>
      <c r="V200" s="38"/>
      <c r="W200" s="38"/>
      <c r="X200" s="38"/>
      <c r="Y200" s="38"/>
    </row>
    <row r="201" spans="1:25" x14ac:dyDescent="0.35">
      <c r="A201" s="10" t="s">
        <v>0</v>
      </c>
      <c r="B201" s="11" t="s">
        <v>46</v>
      </c>
      <c r="C201" s="11" t="s">
        <v>26</v>
      </c>
      <c r="D201" s="11" t="s">
        <v>46</v>
      </c>
      <c r="E201" s="11" t="s">
        <v>28</v>
      </c>
      <c r="F201" s="11" t="s">
        <v>43</v>
      </c>
      <c r="G201" s="11" t="s">
        <v>43</v>
      </c>
      <c r="H201" s="11" t="s">
        <v>14</v>
      </c>
      <c r="I201" s="11" t="s">
        <v>138</v>
      </c>
      <c r="J201" s="11" t="s">
        <v>30</v>
      </c>
      <c r="K201" s="11" t="s">
        <v>135</v>
      </c>
      <c r="L201" s="11" t="s">
        <v>13</v>
      </c>
      <c r="M201" s="11" t="s">
        <v>13</v>
      </c>
      <c r="N201" s="11" t="s">
        <v>31</v>
      </c>
      <c r="O201" s="11" t="s">
        <v>33</v>
      </c>
      <c r="P201" s="11" t="s">
        <v>33</v>
      </c>
      <c r="Q201" s="11" t="s">
        <v>144</v>
      </c>
      <c r="R201" s="11" t="s">
        <v>35</v>
      </c>
      <c r="S201" s="12" t="s">
        <v>37</v>
      </c>
      <c r="T201" s="11" t="s">
        <v>39</v>
      </c>
      <c r="U201" s="11" t="s">
        <v>41</v>
      </c>
      <c r="V201" s="38"/>
      <c r="W201" s="48"/>
      <c r="X201" s="48"/>
      <c r="Y201" s="38"/>
    </row>
    <row r="202" spans="1:25" ht="15.75" thickBot="1" x14ac:dyDescent="0.4">
      <c r="A202" s="13"/>
      <c r="B202" s="14" t="s">
        <v>48</v>
      </c>
      <c r="C202" s="14" t="s">
        <v>27</v>
      </c>
      <c r="D202" s="14" t="s">
        <v>47</v>
      </c>
      <c r="E202" s="14" t="s">
        <v>29</v>
      </c>
      <c r="F202" s="14" t="s">
        <v>44</v>
      </c>
      <c r="G202" s="14" t="s">
        <v>45</v>
      </c>
      <c r="H202" s="15" t="s">
        <v>137</v>
      </c>
      <c r="I202" s="14" t="s">
        <v>139</v>
      </c>
      <c r="J202" s="14" t="s">
        <v>145</v>
      </c>
      <c r="K202" s="14" t="s">
        <v>136</v>
      </c>
      <c r="L202" s="14" t="s">
        <v>134</v>
      </c>
      <c r="M202" s="14" t="s">
        <v>152</v>
      </c>
      <c r="N202" s="14" t="s">
        <v>32</v>
      </c>
      <c r="O202" s="14" t="s">
        <v>34</v>
      </c>
      <c r="P202" s="14" t="s">
        <v>133</v>
      </c>
      <c r="Q202" s="16" t="s">
        <v>143</v>
      </c>
      <c r="R202" s="14" t="s">
        <v>36</v>
      </c>
      <c r="S202" s="17" t="s">
        <v>38</v>
      </c>
      <c r="T202" s="14" t="s">
        <v>40</v>
      </c>
      <c r="U202" s="14" t="s">
        <v>42</v>
      </c>
      <c r="V202" s="38"/>
      <c r="W202" s="48"/>
      <c r="X202" s="48"/>
      <c r="Y202" s="38"/>
    </row>
    <row r="203" spans="1:25" ht="15.75" thickBot="1" x14ac:dyDescent="0.4">
      <c r="A203" s="39" t="s">
        <v>21</v>
      </c>
      <c r="B203" s="40"/>
      <c r="C203" s="40"/>
      <c r="D203" s="40"/>
      <c r="E203" s="40"/>
      <c r="F203" s="40"/>
      <c r="G203" s="40"/>
      <c r="H203" s="50"/>
      <c r="I203" s="50">
        <f>I205+I206+I207+I208+I209+I210+I211+I212</f>
        <v>888000</v>
      </c>
      <c r="J203" s="50">
        <f>J204+J205+J206+J207+J208+J209+J210+J211+J212</f>
        <v>4323600</v>
      </c>
      <c r="K203" s="40"/>
      <c r="L203" s="40"/>
      <c r="M203" s="40"/>
      <c r="N203" s="50"/>
      <c r="O203" s="50"/>
      <c r="P203" s="40"/>
      <c r="Q203" s="40"/>
      <c r="R203" s="40"/>
      <c r="S203" s="40"/>
      <c r="T203" s="40"/>
      <c r="U203" s="50">
        <f>H203+I203+J203+N203+O203</f>
        <v>5211600</v>
      </c>
      <c r="V203" s="38"/>
      <c r="W203" s="51"/>
      <c r="X203" s="51"/>
      <c r="Y203" s="38"/>
    </row>
    <row r="204" spans="1:25" x14ac:dyDescent="0.35">
      <c r="A204" s="25" t="s">
        <v>147</v>
      </c>
      <c r="B204" s="25"/>
      <c r="C204" s="25"/>
      <c r="D204" s="25"/>
      <c r="E204" s="25"/>
      <c r="F204" s="25"/>
      <c r="G204" s="25"/>
      <c r="H204" s="43"/>
      <c r="I204" s="43"/>
      <c r="J204" s="25">
        <v>10000</v>
      </c>
      <c r="K204" s="25"/>
      <c r="L204" s="25"/>
      <c r="M204" s="25"/>
      <c r="N204" s="43"/>
      <c r="O204" s="43"/>
      <c r="P204" s="25"/>
      <c r="Q204" s="43"/>
      <c r="R204" s="43"/>
      <c r="S204" s="43"/>
      <c r="T204" s="43"/>
      <c r="U204" s="56">
        <f t="shared" ref="U204:U212" si="17">H204+I204+J204+N204+O204</f>
        <v>10000</v>
      </c>
      <c r="V204" s="44"/>
      <c r="W204" s="44">
        <v>60000</v>
      </c>
      <c r="X204" s="44"/>
      <c r="Y204" s="38"/>
    </row>
    <row r="205" spans="1:25" x14ac:dyDescent="0.35">
      <c r="A205" s="29" t="s">
        <v>94</v>
      </c>
      <c r="B205" s="29"/>
      <c r="C205" s="29"/>
      <c r="D205" s="29"/>
      <c r="E205" s="29"/>
      <c r="F205" s="29"/>
      <c r="G205" s="29"/>
      <c r="H205" s="29"/>
      <c r="I205" s="29">
        <f>V205/2</f>
        <v>144000</v>
      </c>
      <c r="J205" s="25">
        <f t="shared" ref="J205:J212" si="18">W205/2</f>
        <v>704400</v>
      </c>
      <c r="K205" s="29"/>
      <c r="L205" s="29"/>
      <c r="M205" s="29"/>
      <c r="N205" s="29"/>
      <c r="O205" s="45"/>
      <c r="P205" s="29"/>
      <c r="Q205" s="29"/>
      <c r="R205" s="29"/>
      <c r="S205" s="29"/>
      <c r="T205" s="29"/>
      <c r="U205" s="57">
        <f t="shared" si="17"/>
        <v>848400</v>
      </c>
      <c r="V205" s="44">
        <v>288000</v>
      </c>
      <c r="W205" s="44">
        <f>1388800+20000</f>
        <v>1408800</v>
      </c>
      <c r="X205" s="44"/>
      <c r="Y205" s="38"/>
    </row>
    <row r="206" spans="1:25" x14ac:dyDescent="0.35">
      <c r="A206" s="29" t="s">
        <v>95</v>
      </c>
      <c r="B206" s="29"/>
      <c r="C206" s="29"/>
      <c r="D206" s="29"/>
      <c r="E206" s="29"/>
      <c r="F206" s="29"/>
      <c r="G206" s="29"/>
      <c r="H206" s="29"/>
      <c r="I206" s="29">
        <f t="shared" ref="I206:I212" si="19">V206/2</f>
        <v>432000</v>
      </c>
      <c r="J206" s="25">
        <f t="shared" si="18"/>
        <v>1057200</v>
      </c>
      <c r="K206" s="29"/>
      <c r="L206" s="29"/>
      <c r="M206" s="29"/>
      <c r="N206" s="29"/>
      <c r="O206" s="45"/>
      <c r="P206" s="29"/>
      <c r="Q206" s="29"/>
      <c r="R206" s="29"/>
      <c r="S206" s="29"/>
      <c r="T206" s="29"/>
      <c r="U206" s="57">
        <f t="shared" si="17"/>
        <v>1489200</v>
      </c>
      <c r="V206" s="44">
        <v>864000</v>
      </c>
      <c r="W206" s="44">
        <f>2094400+20000</f>
        <v>2114400</v>
      </c>
      <c r="X206" s="44"/>
      <c r="Y206" s="38"/>
    </row>
    <row r="207" spans="1:25" x14ac:dyDescent="0.35">
      <c r="A207" s="29" t="s">
        <v>96</v>
      </c>
      <c r="B207" s="29"/>
      <c r="C207" s="29"/>
      <c r="D207" s="29"/>
      <c r="E207" s="29"/>
      <c r="F207" s="29"/>
      <c r="G207" s="29"/>
      <c r="H207" s="29"/>
      <c r="I207" s="29">
        <f t="shared" si="19"/>
        <v>24000</v>
      </c>
      <c r="J207" s="25">
        <f t="shared" si="18"/>
        <v>530800</v>
      </c>
      <c r="K207" s="29"/>
      <c r="L207" s="29"/>
      <c r="M207" s="29"/>
      <c r="N207" s="29"/>
      <c r="O207" s="45"/>
      <c r="P207" s="29"/>
      <c r="Q207" s="29"/>
      <c r="R207" s="29"/>
      <c r="S207" s="29"/>
      <c r="T207" s="29"/>
      <c r="U207" s="57">
        <f t="shared" si="17"/>
        <v>554800</v>
      </c>
      <c r="V207" s="44">
        <v>48000</v>
      </c>
      <c r="W207" s="44">
        <f>1041600+20000</f>
        <v>1061600</v>
      </c>
      <c r="X207" s="44"/>
      <c r="Y207" s="38"/>
    </row>
    <row r="208" spans="1:25" x14ac:dyDescent="0.35">
      <c r="A208" s="29" t="s">
        <v>98</v>
      </c>
      <c r="B208" s="29"/>
      <c r="C208" s="29"/>
      <c r="D208" s="29"/>
      <c r="E208" s="29"/>
      <c r="F208" s="29"/>
      <c r="G208" s="29"/>
      <c r="H208" s="29"/>
      <c r="I208" s="29">
        <f t="shared" si="19"/>
        <v>24000</v>
      </c>
      <c r="J208" s="25">
        <f t="shared" si="18"/>
        <v>290000</v>
      </c>
      <c r="K208" s="29"/>
      <c r="L208" s="29"/>
      <c r="M208" s="29"/>
      <c r="N208" s="29"/>
      <c r="O208" s="45"/>
      <c r="P208" s="29"/>
      <c r="Q208" s="29"/>
      <c r="R208" s="29"/>
      <c r="S208" s="29"/>
      <c r="T208" s="29"/>
      <c r="U208" s="57">
        <f t="shared" si="17"/>
        <v>314000</v>
      </c>
      <c r="V208" s="44">
        <v>48000</v>
      </c>
      <c r="W208" s="44">
        <f>560000+20000</f>
        <v>580000</v>
      </c>
      <c r="X208" s="44"/>
      <c r="Y208" s="38"/>
    </row>
    <row r="209" spans="1:25" x14ac:dyDescent="0.35">
      <c r="A209" s="29" t="s">
        <v>97</v>
      </c>
      <c r="B209" s="29"/>
      <c r="C209" s="29"/>
      <c r="D209" s="29"/>
      <c r="E209" s="29"/>
      <c r="F209" s="29"/>
      <c r="G209" s="29"/>
      <c r="H209" s="29"/>
      <c r="I209" s="29">
        <f t="shared" si="19"/>
        <v>24000</v>
      </c>
      <c r="J209" s="25">
        <f t="shared" si="18"/>
        <v>463600</v>
      </c>
      <c r="K209" s="29"/>
      <c r="L209" s="29"/>
      <c r="M209" s="29"/>
      <c r="N209" s="29"/>
      <c r="O209" s="45"/>
      <c r="P209" s="29"/>
      <c r="Q209" s="29"/>
      <c r="R209" s="29"/>
      <c r="S209" s="29"/>
      <c r="T209" s="29"/>
      <c r="U209" s="57">
        <f t="shared" si="17"/>
        <v>487600</v>
      </c>
      <c r="V209" s="44">
        <v>48000</v>
      </c>
      <c r="W209" s="44">
        <f>907200+20000</f>
        <v>927200</v>
      </c>
      <c r="X209" s="44"/>
      <c r="Y209" s="38"/>
    </row>
    <row r="210" spans="1:25" x14ac:dyDescent="0.35">
      <c r="A210" s="29" t="s">
        <v>99</v>
      </c>
      <c r="B210" s="29"/>
      <c r="C210" s="29"/>
      <c r="D210" s="29"/>
      <c r="E210" s="29"/>
      <c r="F210" s="29"/>
      <c r="G210" s="29"/>
      <c r="H210" s="29"/>
      <c r="I210" s="29">
        <f t="shared" si="19"/>
        <v>48000</v>
      </c>
      <c r="J210" s="25">
        <f t="shared" si="18"/>
        <v>368400</v>
      </c>
      <c r="K210" s="29"/>
      <c r="L210" s="29"/>
      <c r="M210" s="29"/>
      <c r="N210" s="29"/>
      <c r="O210" s="45"/>
      <c r="P210" s="29"/>
      <c r="Q210" s="29"/>
      <c r="R210" s="29"/>
      <c r="S210" s="29"/>
      <c r="T210" s="29"/>
      <c r="U210" s="57">
        <f t="shared" si="17"/>
        <v>416400</v>
      </c>
      <c r="V210" s="44">
        <v>96000</v>
      </c>
      <c r="W210" s="44">
        <f>716800+20000</f>
        <v>736800</v>
      </c>
      <c r="X210" s="44"/>
      <c r="Y210" s="38"/>
    </row>
    <row r="211" spans="1:25" x14ac:dyDescent="0.35">
      <c r="A211" s="29" t="s">
        <v>100</v>
      </c>
      <c r="B211" s="29"/>
      <c r="C211" s="29"/>
      <c r="D211" s="29"/>
      <c r="E211" s="29"/>
      <c r="F211" s="29"/>
      <c r="G211" s="29"/>
      <c r="H211" s="29"/>
      <c r="I211" s="29">
        <f t="shared" si="19"/>
        <v>72000</v>
      </c>
      <c r="J211" s="25">
        <f t="shared" si="18"/>
        <v>564400</v>
      </c>
      <c r="K211" s="29"/>
      <c r="L211" s="29"/>
      <c r="M211" s="29"/>
      <c r="N211" s="29"/>
      <c r="O211" s="45"/>
      <c r="P211" s="29"/>
      <c r="Q211" s="29"/>
      <c r="R211" s="29"/>
      <c r="S211" s="29"/>
      <c r="T211" s="29"/>
      <c r="U211" s="57">
        <f t="shared" si="17"/>
        <v>636400</v>
      </c>
      <c r="V211" s="44">
        <v>144000</v>
      </c>
      <c r="W211" s="44">
        <f>1108800+20000</f>
        <v>1128800</v>
      </c>
      <c r="X211" s="44"/>
      <c r="Y211" s="38"/>
    </row>
    <row r="212" spans="1:25" x14ac:dyDescent="0.35">
      <c r="A212" s="29" t="s">
        <v>101</v>
      </c>
      <c r="B212" s="29"/>
      <c r="C212" s="29"/>
      <c r="D212" s="29"/>
      <c r="E212" s="29"/>
      <c r="F212" s="29"/>
      <c r="G212" s="29"/>
      <c r="H212" s="29"/>
      <c r="I212" s="29">
        <f t="shared" si="19"/>
        <v>120000</v>
      </c>
      <c r="J212" s="25">
        <f t="shared" si="18"/>
        <v>334800</v>
      </c>
      <c r="K212" s="29"/>
      <c r="L212" s="29"/>
      <c r="M212" s="29"/>
      <c r="N212" s="29"/>
      <c r="O212" s="45"/>
      <c r="P212" s="29"/>
      <c r="Q212" s="29"/>
      <c r="R212" s="29"/>
      <c r="S212" s="29"/>
      <c r="T212" s="29"/>
      <c r="U212" s="57">
        <f t="shared" si="17"/>
        <v>454800</v>
      </c>
      <c r="V212" s="44">
        <v>240000</v>
      </c>
      <c r="W212" s="44">
        <f>649600+20000</f>
        <v>669600</v>
      </c>
      <c r="X212" s="44"/>
      <c r="Y212" s="38"/>
    </row>
    <row r="213" spans="1:25" x14ac:dyDescent="0.35">
      <c r="J213" s="18"/>
      <c r="N213" s="60"/>
      <c r="O213" s="55"/>
      <c r="U213" s="55"/>
      <c r="V213" s="38"/>
      <c r="W213" s="38"/>
      <c r="X213" s="38"/>
      <c r="Y213" s="38"/>
    </row>
    <row r="214" spans="1:25" ht="21.75" x14ac:dyDescent="0.5">
      <c r="A214" s="2" t="s">
        <v>160</v>
      </c>
      <c r="B214" s="2"/>
      <c r="C214" s="2"/>
      <c r="D214" s="2"/>
      <c r="E214" s="2"/>
      <c r="F214" s="2"/>
      <c r="G214" s="2"/>
      <c r="H214" s="4"/>
      <c r="I214" s="2"/>
      <c r="J214" s="2"/>
      <c r="K214" s="2"/>
      <c r="L214" s="2"/>
      <c r="M214" s="2"/>
      <c r="N214" s="4"/>
      <c r="O214" s="2"/>
      <c r="P214" s="2"/>
      <c r="Q214" s="2"/>
      <c r="R214" s="2"/>
      <c r="S214" s="2"/>
      <c r="T214" s="2"/>
      <c r="U214" s="3"/>
      <c r="V214" s="38"/>
      <c r="W214" s="38"/>
      <c r="X214" s="38"/>
      <c r="Y214" s="38"/>
    </row>
    <row r="215" spans="1:25" ht="16.5" x14ac:dyDescent="0.4">
      <c r="A215" s="5" t="s">
        <v>156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38"/>
      <c r="W215" s="38"/>
      <c r="X215" s="38"/>
      <c r="Y215" s="38"/>
    </row>
    <row r="216" spans="1:25" ht="16.5" x14ac:dyDescent="0.4">
      <c r="A216" s="5" t="s">
        <v>153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38"/>
      <c r="W216" s="38"/>
      <c r="X216" s="38"/>
      <c r="Y216" s="38"/>
    </row>
    <row r="217" spans="1:25" ht="16.5" x14ac:dyDescent="0.4">
      <c r="A217" s="5" t="s">
        <v>157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38"/>
      <c r="W217" s="38"/>
      <c r="X217" s="38"/>
      <c r="Y217" s="38"/>
    </row>
    <row r="218" spans="1:25" ht="16.5" x14ac:dyDescent="0.4">
      <c r="A218" s="5" t="s">
        <v>154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38"/>
      <c r="W218" s="38"/>
      <c r="X218" s="38"/>
      <c r="Y218" s="38"/>
    </row>
    <row r="219" spans="1:25" ht="16.5" x14ac:dyDescent="0.4">
      <c r="A219" s="5" t="s">
        <v>158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38"/>
      <c r="W219" s="38"/>
      <c r="X219" s="38"/>
      <c r="Y219" s="38"/>
    </row>
    <row r="220" spans="1:25" ht="16.5" x14ac:dyDescent="0.4">
      <c r="A220" s="5" t="s">
        <v>155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38"/>
      <c r="W220" s="38"/>
      <c r="X220" s="38"/>
      <c r="Y220" s="38"/>
    </row>
    <row r="221" spans="1:25" ht="16.5" x14ac:dyDescent="0.4">
      <c r="A221" s="5" t="s">
        <v>159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38"/>
      <c r="W221" s="38"/>
      <c r="X221" s="38"/>
      <c r="Y221" s="38"/>
    </row>
    <row r="222" spans="1:25" ht="16.5" x14ac:dyDescent="0.4">
      <c r="A222" s="5" t="s">
        <v>164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38"/>
      <c r="W222" s="38"/>
      <c r="X222" s="38"/>
      <c r="Y222" s="38"/>
    </row>
    <row r="223" spans="1:25" ht="16.5" x14ac:dyDescent="0.4">
      <c r="A223" s="5" t="s">
        <v>162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38"/>
      <c r="W223" s="38"/>
      <c r="X223" s="38"/>
      <c r="Y223" s="38"/>
    </row>
    <row r="224" spans="1:25" ht="16.5" x14ac:dyDescent="0.4">
      <c r="A224" s="5" t="s">
        <v>150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38"/>
      <c r="W224" s="38"/>
      <c r="X224" s="38"/>
      <c r="Y224" s="38"/>
    </row>
    <row r="225" spans="1:25" ht="16.5" x14ac:dyDescent="0.4">
      <c r="A225" s="5" t="s">
        <v>151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38"/>
      <c r="W225" s="38"/>
      <c r="X225" s="38"/>
      <c r="Y225" s="38"/>
    </row>
    <row r="226" spans="1:25" x14ac:dyDescent="0.35">
      <c r="V226" s="38"/>
      <c r="W226" s="38"/>
      <c r="X226" s="38"/>
      <c r="Y226" s="38"/>
    </row>
    <row r="227" spans="1:25" x14ac:dyDescent="0.35">
      <c r="V227" s="38"/>
      <c r="W227" s="38"/>
      <c r="X227" s="38"/>
      <c r="Y227" s="38"/>
    </row>
    <row r="228" spans="1:25" x14ac:dyDescent="0.35">
      <c r="V228" s="38"/>
      <c r="W228" s="38"/>
      <c r="X228" s="38"/>
      <c r="Y228" s="38"/>
    </row>
    <row r="229" spans="1:25" x14ac:dyDescent="0.35">
      <c r="V229" s="38"/>
      <c r="W229" s="38"/>
      <c r="X229" s="38"/>
      <c r="Y229" s="38"/>
    </row>
    <row r="230" spans="1:25" x14ac:dyDescent="0.35">
      <c r="V230" s="38"/>
      <c r="W230" s="38"/>
      <c r="X230" s="38"/>
      <c r="Y230" s="38"/>
    </row>
    <row r="231" spans="1:25" x14ac:dyDescent="0.35">
      <c r="V231" s="38"/>
      <c r="W231" s="38"/>
      <c r="X231" s="38"/>
      <c r="Y231" s="38"/>
    </row>
    <row r="232" spans="1:25" x14ac:dyDescent="0.35">
      <c r="V232" s="38"/>
      <c r="W232" s="38"/>
      <c r="X232" s="38"/>
      <c r="Y232" s="38"/>
    </row>
    <row r="233" spans="1:25" x14ac:dyDescent="0.35">
      <c r="A233" s="7" t="s">
        <v>7</v>
      </c>
      <c r="V233" s="38"/>
      <c r="W233" s="38"/>
      <c r="X233" s="38"/>
      <c r="Y233" s="38"/>
    </row>
    <row r="234" spans="1:25" x14ac:dyDescent="0.35">
      <c r="A234" s="10" t="s">
        <v>0</v>
      </c>
      <c r="B234" s="11" t="s">
        <v>46</v>
      </c>
      <c r="C234" s="11" t="s">
        <v>26</v>
      </c>
      <c r="D234" s="11" t="s">
        <v>46</v>
      </c>
      <c r="E234" s="11" t="s">
        <v>28</v>
      </c>
      <c r="F234" s="11" t="s">
        <v>43</v>
      </c>
      <c r="G234" s="11" t="s">
        <v>43</v>
      </c>
      <c r="H234" s="11" t="s">
        <v>14</v>
      </c>
      <c r="I234" s="11" t="s">
        <v>138</v>
      </c>
      <c r="J234" s="11" t="s">
        <v>30</v>
      </c>
      <c r="K234" s="11" t="s">
        <v>135</v>
      </c>
      <c r="L234" s="11" t="s">
        <v>13</v>
      </c>
      <c r="M234" s="11" t="s">
        <v>13</v>
      </c>
      <c r="N234" s="11" t="s">
        <v>31</v>
      </c>
      <c r="O234" s="11" t="s">
        <v>33</v>
      </c>
      <c r="P234" s="11" t="s">
        <v>33</v>
      </c>
      <c r="Q234" s="11" t="s">
        <v>144</v>
      </c>
      <c r="R234" s="11" t="s">
        <v>35</v>
      </c>
      <c r="S234" s="12" t="s">
        <v>37</v>
      </c>
      <c r="T234" s="11" t="s">
        <v>39</v>
      </c>
      <c r="U234" s="11" t="s">
        <v>41</v>
      </c>
      <c r="V234" s="38"/>
      <c r="W234" s="48"/>
      <c r="X234" s="48"/>
      <c r="Y234" s="38"/>
    </row>
    <row r="235" spans="1:25" ht="15.75" thickBot="1" x14ac:dyDescent="0.4">
      <c r="A235" s="13"/>
      <c r="B235" s="14" t="s">
        <v>48</v>
      </c>
      <c r="C235" s="14" t="s">
        <v>27</v>
      </c>
      <c r="D235" s="14" t="s">
        <v>47</v>
      </c>
      <c r="E235" s="14" t="s">
        <v>29</v>
      </c>
      <c r="F235" s="14" t="s">
        <v>44</v>
      </c>
      <c r="G235" s="14" t="s">
        <v>45</v>
      </c>
      <c r="H235" s="15" t="s">
        <v>137</v>
      </c>
      <c r="I235" s="14" t="s">
        <v>139</v>
      </c>
      <c r="J235" s="14" t="s">
        <v>145</v>
      </c>
      <c r="K235" s="14" t="s">
        <v>136</v>
      </c>
      <c r="L235" s="14" t="s">
        <v>134</v>
      </c>
      <c r="M235" s="14" t="s">
        <v>152</v>
      </c>
      <c r="N235" s="14" t="s">
        <v>32</v>
      </c>
      <c r="O235" s="14" t="s">
        <v>34</v>
      </c>
      <c r="P235" s="14" t="s">
        <v>133</v>
      </c>
      <c r="Q235" s="16" t="s">
        <v>143</v>
      </c>
      <c r="R235" s="14" t="s">
        <v>36</v>
      </c>
      <c r="S235" s="17" t="s">
        <v>38</v>
      </c>
      <c r="T235" s="14" t="s">
        <v>40</v>
      </c>
      <c r="U235" s="14" t="s">
        <v>42</v>
      </c>
      <c r="V235" s="38"/>
      <c r="W235" s="48"/>
      <c r="X235" s="48"/>
      <c r="Y235" s="38"/>
    </row>
    <row r="236" spans="1:25" ht="15.75" thickBot="1" x14ac:dyDescent="0.4">
      <c r="A236" s="39" t="s">
        <v>22</v>
      </c>
      <c r="B236" s="40"/>
      <c r="C236" s="40"/>
      <c r="D236" s="40"/>
      <c r="E236" s="40"/>
      <c r="F236" s="40"/>
      <c r="G236" s="40"/>
      <c r="H236" s="50"/>
      <c r="I236" s="50">
        <f>I238+I239+I240+I241+I242+I243+I244+I245+I246</f>
        <v>600000</v>
      </c>
      <c r="J236" s="50">
        <f>J237+J238+J239+J240+J241+J242+J243+J244+J245+J246</f>
        <v>4003200</v>
      </c>
      <c r="K236" s="40"/>
      <c r="L236" s="40"/>
      <c r="M236" s="40"/>
      <c r="N236" s="50"/>
      <c r="O236" s="50"/>
      <c r="P236" s="40"/>
      <c r="Q236" s="59"/>
      <c r="R236" s="59"/>
      <c r="S236" s="59"/>
      <c r="T236" s="59"/>
      <c r="U236" s="50">
        <f>H236+I236+J236+N236+O236</f>
        <v>4603200</v>
      </c>
      <c r="V236" s="38"/>
      <c r="W236" s="51"/>
      <c r="X236" s="51"/>
      <c r="Y236" s="38"/>
    </row>
    <row r="237" spans="1:25" x14ac:dyDescent="0.35">
      <c r="A237" s="25" t="s">
        <v>148</v>
      </c>
      <c r="B237" s="25"/>
      <c r="C237" s="25"/>
      <c r="D237" s="25"/>
      <c r="E237" s="25"/>
      <c r="F237" s="25"/>
      <c r="G237" s="25"/>
      <c r="H237" s="43"/>
      <c r="I237" s="43"/>
      <c r="J237" s="25">
        <v>10000</v>
      </c>
      <c r="K237" s="25"/>
      <c r="L237" s="25"/>
      <c r="M237" s="25"/>
      <c r="N237" s="43"/>
      <c r="O237" s="43"/>
      <c r="P237" s="25"/>
      <c r="Q237" s="43"/>
      <c r="R237" s="43"/>
      <c r="S237" s="43"/>
      <c r="T237" s="43"/>
      <c r="U237" s="56">
        <f t="shared" ref="U237:U246" si="20">H237+I237+J237+N237+O237</f>
        <v>10000</v>
      </c>
      <c r="V237" s="44"/>
      <c r="W237" s="44">
        <v>60000</v>
      </c>
      <c r="X237" s="44"/>
      <c r="Y237" s="38"/>
    </row>
    <row r="238" spans="1:25" x14ac:dyDescent="0.35">
      <c r="A238" s="29" t="s">
        <v>102</v>
      </c>
      <c r="B238" s="29"/>
      <c r="C238" s="29"/>
      <c r="D238" s="29"/>
      <c r="E238" s="29"/>
      <c r="F238" s="29"/>
      <c r="G238" s="29"/>
      <c r="H238" s="29"/>
      <c r="I238" s="29">
        <f>V238/2</f>
        <v>72000</v>
      </c>
      <c r="J238" s="25">
        <f t="shared" ref="J238:J246" si="21">W238/2</f>
        <v>396400</v>
      </c>
      <c r="K238" s="29"/>
      <c r="L238" s="29"/>
      <c r="M238" s="29"/>
      <c r="N238" s="29"/>
      <c r="O238" s="45"/>
      <c r="P238" s="29"/>
      <c r="Q238" s="29"/>
      <c r="R238" s="29"/>
      <c r="S238" s="29"/>
      <c r="T238" s="29"/>
      <c r="U238" s="57">
        <f t="shared" si="20"/>
        <v>468400</v>
      </c>
      <c r="V238" s="44">
        <v>144000</v>
      </c>
      <c r="W238" s="44">
        <f>772800+20000</f>
        <v>792800</v>
      </c>
      <c r="X238" s="44"/>
      <c r="Y238" s="38"/>
    </row>
    <row r="239" spans="1:25" x14ac:dyDescent="0.35">
      <c r="A239" s="29" t="s">
        <v>103</v>
      </c>
      <c r="B239" s="29"/>
      <c r="C239" s="29"/>
      <c r="D239" s="29"/>
      <c r="E239" s="29"/>
      <c r="F239" s="29"/>
      <c r="G239" s="29"/>
      <c r="H239" s="29"/>
      <c r="I239" s="29">
        <f t="shared" ref="I239:I246" si="22">V239/2</f>
        <v>24000</v>
      </c>
      <c r="J239" s="25">
        <f t="shared" si="21"/>
        <v>413200</v>
      </c>
      <c r="K239" s="29"/>
      <c r="L239" s="29"/>
      <c r="M239" s="29"/>
      <c r="N239" s="29"/>
      <c r="O239" s="45"/>
      <c r="P239" s="29"/>
      <c r="Q239" s="29"/>
      <c r="R239" s="29"/>
      <c r="S239" s="29"/>
      <c r="T239" s="29"/>
      <c r="U239" s="57">
        <f t="shared" si="20"/>
        <v>437200</v>
      </c>
      <c r="V239" s="44">
        <v>48000</v>
      </c>
      <c r="W239" s="44">
        <f>806400+20000</f>
        <v>826400</v>
      </c>
      <c r="X239" s="44"/>
      <c r="Y239" s="38"/>
    </row>
    <row r="240" spans="1:25" x14ac:dyDescent="0.35">
      <c r="A240" s="29" t="s">
        <v>104</v>
      </c>
      <c r="B240" s="29"/>
      <c r="C240" s="29"/>
      <c r="D240" s="29"/>
      <c r="E240" s="29"/>
      <c r="F240" s="29"/>
      <c r="G240" s="29"/>
      <c r="H240" s="29"/>
      <c r="I240" s="29">
        <f t="shared" si="22"/>
        <v>72000</v>
      </c>
      <c r="J240" s="25">
        <f t="shared" si="21"/>
        <v>626000</v>
      </c>
      <c r="K240" s="29"/>
      <c r="L240" s="29"/>
      <c r="M240" s="29"/>
      <c r="N240" s="29"/>
      <c r="O240" s="45"/>
      <c r="P240" s="29"/>
      <c r="Q240" s="29"/>
      <c r="R240" s="29"/>
      <c r="S240" s="29"/>
      <c r="T240" s="29"/>
      <c r="U240" s="57">
        <f t="shared" si="20"/>
        <v>698000</v>
      </c>
      <c r="V240" s="44">
        <v>144000</v>
      </c>
      <c r="W240" s="44">
        <f>1232000+20000</f>
        <v>1252000</v>
      </c>
      <c r="X240" s="44"/>
      <c r="Y240" s="38"/>
    </row>
    <row r="241" spans="1:25" x14ac:dyDescent="0.35">
      <c r="A241" s="29" t="s">
        <v>105</v>
      </c>
      <c r="B241" s="29"/>
      <c r="C241" s="29"/>
      <c r="D241" s="29"/>
      <c r="E241" s="29"/>
      <c r="F241" s="29"/>
      <c r="G241" s="29"/>
      <c r="H241" s="29"/>
      <c r="I241" s="29">
        <f t="shared" si="22"/>
        <v>96000</v>
      </c>
      <c r="J241" s="25">
        <f t="shared" si="21"/>
        <v>446800</v>
      </c>
      <c r="K241" s="29"/>
      <c r="L241" s="29"/>
      <c r="M241" s="29"/>
      <c r="N241" s="29"/>
      <c r="O241" s="45"/>
      <c r="P241" s="29"/>
      <c r="Q241" s="29"/>
      <c r="R241" s="29"/>
      <c r="S241" s="29"/>
      <c r="T241" s="29"/>
      <c r="U241" s="57">
        <f t="shared" si="20"/>
        <v>542800</v>
      </c>
      <c r="V241" s="44">
        <v>192000</v>
      </c>
      <c r="W241" s="44">
        <f>873600+20000</f>
        <v>893600</v>
      </c>
      <c r="X241" s="44"/>
      <c r="Y241" s="38"/>
    </row>
    <row r="242" spans="1:25" x14ac:dyDescent="0.35">
      <c r="A242" s="29" t="s">
        <v>106</v>
      </c>
      <c r="B242" s="29"/>
      <c r="C242" s="29"/>
      <c r="D242" s="29"/>
      <c r="E242" s="29"/>
      <c r="F242" s="29"/>
      <c r="G242" s="29"/>
      <c r="H242" s="29"/>
      <c r="I242" s="29">
        <f t="shared" si="22"/>
        <v>120000</v>
      </c>
      <c r="J242" s="25">
        <f t="shared" si="21"/>
        <v>469200</v>
      </c>
      <c r="K242" s="29"/>
      <c r="L242" s="29"/>
      <c r="M242" s="29"/>
      <c r="N242" s="29"/>
      <c r="O242" s="45"/>
      <c r="P242" s="29"/>
      <c r="Q242" s="29"/>
      <c r="R242" s="29"/>
      <c r="S242" s="29"/>
      <c r="T242" s="29"/>
      <c r="U242" s="57">
        <f t="shared" si="20"/>
        <v>589200</v>
      </c>
      <c r="V242" s="44">
        <v>240000</v>
      </c>
      <c r="W242" s="44">
        <f>918400+20000</f>
        <v>938400</v>
      </c>
      <c r="X242" s="44"/>
      <c r="Y242" s="38"/>
    </row>
    <row r="243" spans="1:25" x14ac:dyDescent="0.35">
      <c r="A243" s="29" t="s">
        <v>107</v>
      </c>
      <c r="B243" s="29"/>
      <c r="C243" s="29"/>
      <c r="D243" s="29"/>
      <c r="E243" s="29"/>
      <c r="F243" s="29"/>
      <c r="G243" s="29"/>
      <c r="H243" s="29"/>
      <c r="I243" s="29">
        <f t="shared" si="22"/>
        <v>72000</v>
      </c>
      <c r="J243" s="25">
        <f t="shared" si="21"/>
        <v>514000</v>
      </c>
      <c r="K243" s="29"/>
      <c r="L243" s="29"/>
      <c r="M243" s="29"/>
      <c r="N243" s="29"/>
      <c r="O243" s="45"/>
      <c r="P243" s="29"/>
      <c r="Q243" s="29"/>
      <c r="R243" s="29"/>
      <c r="S243" s="29"/>
      <c r="T243" s="29"/>
      <c r="U243" s="57">
        <f t="shared" si="20"/>
        <v>586000</v>
      </c>
      <c r="V243" s="44">
        <v>144000</v>
      </c>
      <c r="W243" s="44">
        <f>1008000+20000</f>
        <v>1028000</v>
      </c>
      <c r="X243" s="44"/>
      <c r="Y243" s="38"/>
    </row>
    <row r="244" spans="1:25" x14ac:dyDescent="0.35">
      <c r="A244" s="29" t="s">
        <v>108</v>
      </c>
      <c r="B244" s="29"/>
      <c r="C244" s="29"/>
      <c r="D244" s="29"/>
      <c r="E244" s="29"/>
      <c r="F244" s="29"/>
      <c r="G244" s="29"/>
      <c r="H244" s="29"/>
      <c r="I244" s="29">
        <f t="shared" si="22"/>
        <v>72000</v>
      </c>
      <c r="J244" s="25">
        <f t="shared" si="21"/>
        <v>413200</v>
      </c>
      <c r="K244" s="29"/>
      <c r="L244" s="29"/>
      <c r="M244" s="29"/>
      <c r="N244" s="29"/>
      <c r="O244" s="45"/>
      <c r="P244" s="29"/>
      <c r="Q244" s="29"/>
      <c r="R244" s="29"/>
      <c r="S244" s="29"/>
      <c r="T244" s="29"/>
      <c r="U244" s="57">
        <f t="shared" si="20"/>
        <v>485200</v>
      </c>
      <c r="V244" s="44">
        <v>144000</v>
      </c>
      <c r="W244" s="44">
        <f>806400+20000</f>
        <v>826400</v>
      </c>
      <c r="X244" s="44"/>
      <c r="Y244" s="38"/>
    </row>
    <row r="245" spans="1:25" x14ac:dyDescent="0.35">
      <c r="A245" s="29" t="s">
        <v>109</v>
      </c>
      <c r="B245" s="29"/>
      <c r="C245" s="29"/>
      <c r="D245" s="29"/>
      <c r="E245" s="29"/>
      <c r="F245" s="29"/>
      <c r="G245" s="29"/>
      <c r="H245" s="29"/>
      <c r="I245" s="29">
        <f t="shared" si="22"/>
        <v>24000</v>
      </c>
      <c r="J245" s="25">
        <f t="shared" si="21"/>
        <v>396400</v>
      </c>
      <c r="K245" s="29"/>
      <c r="L245" s="29"/>
      <c r="M245" s="29"/>
      <c r="N245" s="29"/>
      <c r="O245" s="45"/>
      <c r="P245" s="29"/>
      <c r="Q245" s="29"/>
      <c r="R245" s="29"/>
      <c r="S245" s="29"/>
      <c r="T245" s="29"/>
      <c r="U245" s="57">
        <f t="shared" si="20"/>
        <v>420400</v>
      </c>
      <c r="V245" s="44">
        <v>48000</v>
      </c>
      <c r="W245" s="44">
        <f>772800+20000</f>
        <v>792800</v>
      </c>
      <c r="X245" s="44"/>
      <c r="Y245" s="38"/>
    </row>
    <row r="246" spans="1:25" x14ac:dyDescent="0.35">
      <c r="A246" s="29" t="s">
        <v>110</v>
      </c>
      <c r="B246" s="29"/>
      <c r="C246" s="29"/>
      <c r="D246" s="29"/>
      <c r="E246" s="29"/>
      <c r="F246" s="29"/>
      <c r="G246" s="29"/>
      <c r="H246" s="29"/>
      <c r="I246" s="29">
        <f t="shared" si="22"/>
        <v>48000</v>
      </c>
      <c r="J246" s="25">
        <f t="shared" si="21"/>
        <v>318000</v>
      </c>
      <c r="K246" s="29"/>
      <c r="L246" s="29"/>
      <c r="M246" s="29"/>
      <c r="N246" s="29"/>
      <c r="O246" s="45"/>
      <c r="P246" s="29"/>
      <c r="Q246" s="29"/>
      <c r="R246" s="29"/>
      <c r="S246" s="29"/>
      <c r="T246" s="29"/>
      <c r="U246" s="57">
        <f t="shared" si="20"/>
        <v>366000</v>
      </c>
      <c r="V246" s="44">
        <v>96000</v>
      </c>
      <c r="W246" s="44">
        <f>616000+20000</f>
        <v>636000</v>
      </c>
      <c r="X246" s="44"/>
      <c r="Y246" s="38"/>
    </row>
    <row r="247" spans="1:25" x14ac:dyDescent="0.35">
      <c r="J247" s="18"/>
      <c r="N247" s="55"/>
      <c r="O247" s="55"/>
      <c r="U247" s="55"/>
      <c r="V247" s="38"/>
      <c r="W247" s="38"/>
      <c r="X247" s="38"/>
      <c r="Y247" s="38"/>
    </row>
    <row r="248" spans="1:25" ht="21.75" x14ac:dyDescent="0.5">
      <c r="A248" s="2" t="s">
        <v>160</v>
      </c>
      <c r="B248" s="2"/>
      <c r="C248" s="2"/>
      <c r="D248" s="2"/>
      <c r="E248" s="2"/>
      <c r="F248" s="2"/>
      <c r="G248" s="2"/>
      <c r="H248" s="4"/>
      <c r="I248" s="2"/>
      <c r="J248" s="2"/>
      <c r="K248" s="2"/>
      <c r="L248" s="2"/>
      <c r="M248" s="2"/>
      <c r="N248" s="4"/>
      <c r="O248" s="2"/>
      <c r="P248" s="2"/>
      <c r="Q248" s="2"/>
      <c r="R248" s="2"/>
      <c r="S248" s="2"/>
      <c r="T248" s="2"/>
      <c r="U248" s="3"/>
      <c r="V248" s="38"/>
      <c r="W248" s="38"/>
      <c r="X248" s="38"/>
      <c r="Y248" s="38"/>
    </row>
    <row r="249" spans="1:25" ht="16.5" x14ac:dyDescent="0.4">
      <c r="A249" s="5" t="s">
        <v>156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38"/>
      <c r="W249" s="38"/>
      <c r="X249" s="38"/>
      <c r="Y249" s="38"/>
    </row>
    <row r="250" spans="1:25" ht="16.5" x14ac:dyDescent="0.4">
      <c r="A250" s="5" t="s">
        <v>153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38"/>
      <c r="W250" s="38"/>
      <c r="X250" s="38"/>
      <c r="Y250" s="38"/>
    </row>
    <row r="251" spans="1:25" ht="16.5" x14ac:dyDescent="0.4">
      <c r="A251" s="5" t="s">
        <v>157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38"/>
      <c r="W251" s="38"/>
      <c r="X251" s="38"/>
      <c r="Y251" s="38"/>
    </row>
    <row r="252" spans="1:25" ht="16.5" x14ac:dyDescent="0.4">
      <c r="A252" s="5" t="s">
        <v>154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38"/>
      <c r="W252" s="38"/>
      <c r="X252" s="38"/>
      <c r="Y252" s="38"/>
    </row>
    <row r="253" spans="1:25" ht="16.5" x14ac:dyDescent="0.4">
      <c r="A253" s="5" t="s">
        <v>158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38"/>
      <c r="W253" s="38"/>
      <c r="X253" s="38"/>
      <c r="Y253" s="38"/>
    </row>
    <row r="254" spans="1:25" ht="16.5" x14ac:dyDescent="0.4">
      <c r="A254" s="5" t="s">
        <v>155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38"/>
      <c r="W254" s="38"/>
      <c r="X254" s="38"/>
      <c r="Y254" s="38"/>
    </row>
    <row r="255" spans="1:25" ht="16.5" x14ac:dyDescent="0.4">
      <c r="A255" s="5" t="s">
        <v>159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38"/>
      <c r="W255" s="38"/>
      <c r="X255" s="38"/>
      <c r="Y255" s="38"/>
    </row>
    <row r="256" spans="1:25" ht="16.5" x14ac:dyDescent="0.4">
      <c r="A256" s="5" t="s">
        <v>164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38"/>
      <c r="W256" s="38"/>
      <c r="X256" s="38"/>
      <c r="Y256" s="38"/>
    </row>
    <row r="257" spans="1:25" ht="16.5" x14ac:dyDescent="0.4">
      <c r="A257" s="5" t="s">
        <v>162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38"/>
      <c r="W257" s="38"/>
      <c r="X257" s="38"/>
      <c r="Y257" s="38"/>
    </row>
    <row r="258" spans="1:25" ht="16.5" x14ac:dyDescent="0.4">
      <c r="A258" s="5" t="s">
        <v>150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38"/>
      <c r="W258" s="38"/>
      <c r="X258" s="38"/>
      <c r="Y258" s="38"/>
    </row>
    <row r="259" spans="1:25" ht="16.5" x14ac:dyDescent="0.4">
      <c r="A259" s="5" t="s">
        <v>151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38"/>
      <c r="W259" s="38"/>
      <c r="X259" s="38"/>
      <c r="Y259" s="38"/>
    </row>
    <row r="260" spans="1:25" x14ac:dyDescent="0.35">
      <c r="V260" s="38"/>
      <c r="W260" s="38"/>
      <c r="X260" s="38"/>
      <c r="Y260" s="38"/>
    </row>
    <row r="261" spans="1:25" x14ac:dyDescent="0.35">
      <c r="V261" s="38"/>
      <c r="W261" s="38"/>
      <c r="X261" s="38"/>
      <c r="Y261" s="38"/>
    </row>
    <row r="262" spans="1:25" x14ac:dyDescent="0.35">
      <c r="V262" s="38"/>
      <c r="W262" s="38"/>
      <c r="X262" s="38"/>
      <c r="Y262" s="38"/>
    </row>
    <row r="263" spans="1:25" x14ac:dyDescent="0.35">
      <c r="V263" s="38"/>
      <c r="W263" s="38"/>
      <c r="X263" s="38"/>
      <c r="Y263" s="38"/>
    </row>
    <row r="264" spans="1:25" x14ac:dyDescent="0.35">
      <c r="V264" s="38"/>
      <c r="W264" s="38"/>
      <c r="X264" s="38"/>
      <c r="Y264" s="38"/>
    </row>
    <row r="265" spans="1:25" x14ac:dyDescent="0.35">
      <c r="V265" s="38"/>
      <c r="W265" s="38"/>
      <c r="X265" s="38"/>
      <c r="Y265" s="38"/>
    </row>
    <row r="266" spans="1:25" x14ac:dyDescent="0.35">
      <c r="V266" s="38"/>
      <c r="W266" s="38"/>
      <c r="X266" s="38"/>
      <c r="Y266" s="38"/>
    </row>
    <row r="267" spans="1:25" x14ac:dyDescent="0.35">
      <c r="A267" s="7" t="s">
        <v>8</v>
      </c>
      <c r="V267" s="38"/>
      <c r="W267" s="38"/>
      <c r="X267" s="38"/>
      <c r="Y267" s="38"/>
    </row>
    <row r="268" spans="1:25" x14ac:dyDescent="0.35">
      <c r="A268" s="10" t="s">
        <v>0</v>
      </c>
      <c r="B268" s="11" t="s">
        <v>46</v>
      </c>
      <c r="C268" s="11" t="s">
        <v>26</v>
      </c>
      <c r="D268" s="11" t="s">
        <v>46</v>
      </c>
      <c r="E268" s="11" t="s">
        <v>28</v>
      </c>
      <c r="F268" s="11" t="s">
        <v>43</v>
      </c>
      <c r="G268" s="11" t="s">
        <v>43</v>
      </c>
      <c r="H268" s="11" t="s">
        <v>14</v>
      </c>
      <c r="I268" s="11" t="s">
        <v>138</v>
      </c>
      <c r="J268" s="11" t="s">
        <v>30</v>
      </c>
      <c r="K268" s="11" t="s">
        <v>135</v>
      </c>
      <c r="L268" s="11" t="s">
        <v>13</v>
      </c>
      <c r="M268" s="11" t="s">
        <v>13</v>
      </c>
      <c r="N268" s="11" t="s">
        <v>31</v>
      </c>
      <c r="O268" s="11" t="s">
        <v>33</v>
      </c>
      <c r="P268" s="11" t="s">
        <v>33</v>
      </c>
      <c r="Q268" s="11" t="s">
        <v>144</v>
      </c>
      <c r="R268" s="11" t="s">
        <v>35</v>
      </c>
      <c r="S268" s="12" t="s">
        <v>37</v>
      </c>
      <c r="T268" s="11" t="s">
        <v>39</v>
      </c>
      <c r="U268" s="11" t="s">
        <v>41</v>
      </c>
      <c r="V268" s="38"/>
      <c r="W268" s="48"/>
      <c r="X268" s="48"/>
      <c r="Y268" s="38"/>
    </row>
    <row r="269" spans="1:25" ht="15.75" thickBot="1" x14ac:dyDescent="0.4">
      <c r="A269" s="13"/>
      <c r="B269" s="14" t="s">
        <v>48</v>
      </c>
      <c r="C269" s="14" t="s">
        <v>27</v>
      </c>
      <c r="D269" s="14" t="s">
        <v>47</v>
      </c>
      <c r="E269" s="14" t="s">
        <v>29</v>
      </c>
      <c r="F269" s="14" t="s">
        <v>44</v>
      </c>
      <c r="G269" s="14" t="s">
        <v>45</v>
      </c>
      <c r="H269" s="15" t="s">
        <v>137</v>
      </c>
      <c r="I269" s="14" t="s">
        <v>139</v>
      </c>
      <c r="J269" s="14" t="s">
        <v>145</v>
      </c>
      <c r="K269" s="14" t="s">
        <v>136</v>
      </c>
      <c r="L269" s="14" t="s">
        <v>134</v>
      </c>
      <c r="M269" s="14" t="s">
        <v>152</v>
      </c>
      <c r="N269" s="14" t="s">
        <v>32</v>
      </c>
      <c r="O269" s="14" t="s">
        <v>34</v>
      </c>
      <c r="P269" s="14" t="s">
        <v>133</v>
      </c>
      <c r="Q269" s="16" t="s">
        <v>143</v>
      </c>
      <c r="R269" s="14" t="s">
        <v>36</v>
      </c>
      <c r="S269" s="17" t="s">
        <v>38</v>
      </c>
      <c r="T269" s="14" t="s">
        <v>40</v>
      </c>
      <c r="U269" s="14" t="s">
        <v>42</v>
      </c>
      <c r="V269" s="38"/>
      <c r="W269" s="48"/>
      <c r="X269" s="48"/>
      <c r="Y269" s="38"/>
    </row>
    <row r="270" spans="1:25" ht="15.75" thickBot="1" x14ac:dyDescent="0.4">
      <c r="A270" s="39" t="s">
        <v>23</v>
      </c>
      <c r="B270" s="40"/>
      <c r="C270" s="40"/>
      <c r="D270" s="40"/>
      <c r="E270" s="40"/>
      <c r="F270" s="40"/>
      <c r="G270" s="40"/>
      <c r="H270" s="50"/>
      <c r="I270" s="50">
        <f>I272+I273+I274+I275+I276+I277+I278+I279</f>
        <v>1344000</v>
      </c>
      <c r="J270" s="50">
        <f>J271+J272+J273+J274+J275+J276+J277+J278+J279</f>
        <v>2946000</v>
      </c>
      <c r="K270" s="40"/>
      <c r="L270" s="40"/>
      <c r="M270" s="40"/>
      <c r="N270" s="50"/>
      <c r="O270" s="50"/>
      <c r="P270" s="40"/>
      <c r="Q270" s="59"/>
      <c r="R270" s="59"/>
      <c r="S270" s="59"/>
      <c r="T270" s="59"/>
      <c r="U270" s="50">
        <f>H270+I270+J270+N270+O270</f>
        <v>4290000</v>
      </c>
      <c r="V270" s="38"/>
      <c r="W270" s="51"/>
      <c r="X270" s="51"/>
      <c r="Y270" s="38"/>
    </row>
    <row r="271" spans="1:25" x14ac:dyDescent="0.35">
      <c r="A271" s="25" t="s">
        <v>149</v>
      </c>
      <c r="B271" s="25"/>
      <c r="C271" s="25"/>
      <c r="D271" s="25"/>
      <c r="E271" s="25"/>
      <c r="F271" s="25"/>
      <c r="G271" s="25"/>
      <c r="H271" s="43"/>
      <c r="I271" s="43"/>
      <c r="J271" s="25">
        <v>10000</v>
      </c>
      <c r="K271" s="25"/>
      <c r="L271" s="25"/>
      <c r="M271" s="25"/>
      <c r="N271" s="43"/>
      <c r="O271" s="43"/>
      <c r="P271" s="25"/>
      <c r="Q271" s="43"/>
      <c r="R271" s="43"/>
      <c r="S271" s="43"/>
      <c r="T271" s="43"/>
      <c r="U271" s="56">
        <f t="shared" ref="U271:U279" si="23">H271+I271+J271+N271+O271</f>
        <v>10000</v>
      </c>
      <c r="V271" s="44"/>
      <c r="W271" s="44">
        <v>60000</v>
      </c>
      <c r="X271" s="44"/>
      <c r="Y271" s="38"/>
    </row>
    <row r="272" spans="1:25" x14ac:dyDescent="0.35">
      <c r="A272" s="29" t="s">
        <v>111</v>
      </c>
      <c r="B272" s="29"/>
      <c r="C272" s="29"/>
      <c r="D272" s="29"/>
      <c r="E272" s="29"/>
      <c r="F272" s="29"/>
      <c r="G272" s="29"/>
      <c r="H272" s="29"/>
      <c r="I272" s="29">
        <f>V272/2</f>
        <v>192000</v>
      </c>
      <c r="J272" s="25">
        <f t="shared" ref="J272:J279" si="24">W272/2</f>
        <v>586800</v>
      </c>
      <c r="K272" s="29"/>
      <c r="L272" s="29"/>
      <c r="M272" s="29"/>
      <c r="N272" s="29"/>
      <c r="O272" s="45"/>
      <c r="P272" s="29"/>
      <c r="Q272" s="29"/>
      <c r="R272" s="29"/>
      <c r="S272" s="29"/>
      <c r="T272" s="29"/>
      <c r="U272" s="57">
        <f t="shared" si="23"/>
        <v>778800</v>
      </c>
      <c r="V272" s="44">
        <v>384000</v>
      </c>
      <c r="W272" s="44">
        <f>1153600+20000</f>
        <v>1173600</v>
      </c>
      <c r="X272" s="44"/>
      <c r="Y272" s="38"/>
    </row>
    <row r="273" spans="1:25" x14ac:dyDescent="0.35">
      <c r="A273" s="29" t="s">
        <v>112</v>
      </c>
      <c r="B273" s="29"/>
      <c r="C273" s="29"/>
      <c r="D273" s="29"/>
      <c r="E273" s="29"/>
      <c r="F273" s="29"/>
      <c r="G273" s="29"/>
      <c r="H273" s="29"/>
      <c r="I273" s="29">
        <f t="shared" ref="I273:I279" si="25">V273/2</f>
        <v>288000</v>
      </c>
      <c r="J273" s="25">
        <f t="shared" si="24"/>
        <v>346000</v>
      </c>
      <c r="K273" s="29"/>
      <c r="L273" s="29"/>
      <c r="M273" s="29"/>
      <c r="N273" s="29"/>
      <c r="O273" s="45"/>
      <c r="P273" s="29"/>
      <c r="Q273" s="29"/>
      <c r="R273" s="29"/>
      <c r="S273" s="29"/>
      <c r="T273" s="29"/>
      <c r="U273" s="57">
        <f t="shared" si="23"/>
        <v>634000</v>
      </c>
      <c r="V273" s="44">
        <v>576000</v>
      </c>
      <c r="W273" s="44">
        <f>672000+20000</f>
        <v>692000</v>
      </c>
      <c r="X273" s="44"/>
      <c r="Y273" s="38"/>
    </row>
    <row r="274" spans="1:25" x14ac:dyDescent="0.35">
      <c r="A274" s="29" t="s">
        <v>141</v>
      </c>
      <c r="B274" s="29"/>
      <c r="C274" s="29"/>
      <c r="D274" s="29"/>
      <c r="E274" s="29"/>
      <c r="F274" s="29"/>
      <c r="G274" s="29"/>
      <c r="H274" s="29"/>
      <c r="I274" s="29">
        <f t="shared" si="25"/>
        <v>144000</v>
      </c>
      <c r="J274" s="25">
        <f t="shared" si="24"/>
        <v>452400</v>
      </c>
      <c r="K274" s="29"/>
      <c r="L274" s="29"/>
      <c r="M274" s="29"/>
      <c r="N274" s="29"/>
      <c r="O274" s="45"/>
      <c r="P274" s="29"/>
      <c r="Q274" s="29"/>
      <c r="R274" s="29"/>
      <c r="S274" s="29"/>
      <c r="T274" s="29"/>
      <c r="U274" s="57">
        <f t="shared" si="23"/>
        <v>596400</v>
      </c>
      <c r="V274" s="44">
        <v>288000</v>
      </c>
      <c r="W274" s="44">
        <f>884800+20000</f>
        <v>904800</v>
      </c>
      <c r="X274" s="44"/>
      <c r="Y274" s="38"/>
    </row>
    <row r="275" spans="1:25" x14ac:dyDescent="0.35">
      <c r="A275" s="29" t="s">
        <v>113</v>
      </c>
      <c r="B275" s="29"/>
      <c r="C275" s="29"/>
      <c r="D275" s="29"/>
      <c r="E275" s="29"/>
      <c r="F275" s="29"/>
      <c r="G275" s="29"/>
      <c r="H275" s="29"/>
      <c r="I275" s="29">
        <f t="shared" si="25"/>
        <v>144000</v>
      </c>
      <c r="J275" s="25">
        <f t="shared" si="24"/>
        <v>351600</v>
      </c>
      <c r="K275" s="29"/>
      <c r="L275" s="29"/>
      <c r="M275" s="29"/>
      <c r="N275" s="29"/>
      <c r="O275" s="45"/>
      <c r="P275" s="29"/>
      <c r="Q275" s="29"/>
      <c r="R275" s="29"/>
      <c r="S275" s="29"/>
      <c r="T275" s="29"/>
      <c r="U275" s="57">
        <f t="shared" si="23"/>
        <v>495600</v>
      </c>
      <c r="V275" s="44">
        <v>288000</v>
      </c>
      <c r="W275" s="44">
        <f>683200+20000</f>
        <v>703200</v>
      </c>
      <c r="X275" s="44"/>
      <c r="Y275" s="38"/>
    </row>
    <row r="276" spans="1:25" x14ac:dyDescent="0.35">
      <c r="A276" s="29" t="s">
        <v>114</v>
      </c>
      <c r="B276" s="29"/>
      <c r="C276" s="29"/>
      <c r="D276" s="29"/>
      <c r="E276" s="29"/>
      <c r="F276" s="29"/>
      <c r="G276" s="29"/>
      <c r="H276" s="29"/>
      <c r="I276" s="29">
        <f t="shared" si="25"/>
        <v>144000</v>
      </c>
      <c r="J276" s="25">
        <f t="shared" si="24"/>
        <v>458000</v>
      </c>
      <c r="K276" s="29"/>
      <c r="L276" s="29"/>
      <c r="M276" s="29"/>
      <c r="N276" s="29"/>
      <c r="O276" s="45"/>
      <c r="P276" s="29"/>
      <c r="Q276" s="29"/>
      <c r="R276" s="29"/>
      <c r="S276" s="29"/>
      <c r="T276" s="29"/>
      <c r="U276" s="57">
        <f t="shared" si="23"/>
        <v>602000</v>
      </c>
      <c r="V276" s="44">
        <v>288000</v>
      </c>
      <c r="W276" s="44">
        <f>896000+20000</f>
        <v>916000</v>
      </c>
      <c r="X276" s="44"/>
      <c r="Y276" s="38"/>
    </row>
    <row r="277" spans="1:25" x14ac:dyDescent="0.35">
      <c r="A277" s="29" t="s">
        <v>115</v>
      </c>
      <c r="B277" s="29"/>
      <c r="C277" s="29"/>
      <c r="D277" s="29"/>
      <c r="E277" s="29"/>
      <c r="F277" s="29"/>
      <c r="G277" s="29"/>
      <c r="H277" s="29"/>
      <c r="I277" s="29">
        <f t="shared" si="25"/>
        <v>72000</v>
      </c>
      <c r="J277" s="25">
        <f t="shared" si="24"/>
        <v>138800</v>
      </c>
      <c r="K277" s="29"/>
      <c r="L277" s="29"/>
      <c r="M277" s="29"/>
      <c r="N277" s="29"/>
      <c r="O277" s="45"/>
      <c r="P277" s="29"/>
      <c r="Q277" s="29"/>
      <c r="R277" s="29"/>
      <c r="S277" s="29"/>
      <c r="T277" s="29"/>
      <c r="U277" s="57">
        <f t="shared" si="23"/>
        <v>210800</v>
      </c>
      <c r="V277" s="44">
        <v>144000</v>
      </c>
      <c r="W277" s="44">
        <f>257600+20000</f>
        <v>277600</v>
      </c>
      <c r="X277" s="44"/>
      <c r="Y277" s="38"/>
    </row>
    <row r="278" spans="1:25" x14ac:dyDescent="0.35">
      <c r="A278" s="29" t="s">
        <v>116</v>
      </c>
      <c r="B278" s="29"/>
      <c r="C278" s="29"/>
      <c r="D278" s="29"/>
      <c r="E278" s="29"/>
      <c r="F278" s="29"/>
      <c r="G278" s="29"/>
      <c r="H278" s="29"/>
      <c r="I278" s="29">
        <f t="shared" si="25"/>
        <v>96000</v>
      </c>
      <c r="J278" s="25">
        <f t="shared" si="24"/>
        <v>150000</v>
      </c>
      <c r="K278" s="29"/>
      <c r="L278" s="29"/>
      <c r="M278" s="29"/>
      <c r="N278" s="29"/>
      <c r="O278" s="45"/>
      <c r="P278" s="29"/>
      <c r="Q278" s="29"/>
      <c r="R278" s="29"/>
      <c r="S278" s="29"/>
      <c r="T278" s="29"/>
      <c r="U278" s="57">
        <f t="shared" si="23"/>
        <v>246000</v>
      </c>
      <c r="V278" s="44">
        <v>192000</v>
      </c>
      <c r="W278" s="44">
        <f>280000+20000</f>
        <v>300000</v>
      </c>
      <c r="X278" s="44"/>
      <c r="Y278" s="38"/>
    </row>
    <row r="279" spans="1:25" x14ac:dyDescent="0.35">
      <c r="A279" s="29" t="s">
        <v>117</v>
      </c>
      <c r="B279" s="29"/>
      <c r="C279" s="29"/>
      <c r="D279" s="29"/>
      <c r="E279" s="29"/>
      <c r="F279" s="29"/>
      <c r="G279" s="29"/>
      <c r="H279" s="29"/>
      <c r="I279" s="29">
        <f t="shared" si="25"/>
        <v>264000</v>
      </c>
      <c r="J279" s="25">
        <f t="shared" si="24"/>
        <v>452400</v>
      </c>
      <c r="K279" s="29"/>
      <c r="L279" s="29"/>
      <c r="M279" s="29"/>
      <c r="N279" s="29"/>
      <c r="O279" s="45"/>
      <c r="P279" s="29"/>
      <c r="Q279" s="29"/>
      <c r="R279" s="29"/>
      <c r="S279" s="29"/>
      <c r="T279" s="29"/>
      <c r="U279" s="57">
        <f t="shared" si="23"/>
        <v>716400</v>
      </c>
      <c r="V279" s="44">
        <v>528000</v>
      </c>
      <c r="W279" s="44">
        <f>884800+20000</f>
        <v>904800</v>
      </c>
      <c r="X279" s="44"/>
      <c r="Y279" s="38"/>
    </row>
    <row r="280" spans="1:25" x14ac:dyDescent="0.35">
      <c r="J280" s="18"/>
      <c r="N280" s="55"/>
      <c r="O280" s="55"/>
      <c r="U280" s="55"/>
      <c r="V280" s="38"/>
      <c r="W280" s="38"/>
      <c r="X280" s="38"/>
      <c r="Y280" s="38"/>
    </row>
    <row r="281" spans="1:25" ht="21.75" x14ac:dyDescent="0.5">
      <c r="A281" s="2" t="s">
        <v>160</v>
      </c>
      <c r="B281" s="2"/>
      <c r="C281" s="2"/>
      <c r="D281" s="2"/>
      <c r="E281" s="2"/>
      <c r="F281" s="2"/>
      <c r="G281" s="2"/>
      <c r="H281" s="4"/>
      <c r="I281" s="2"/>
      <c r="J281" s="2"/>
      <c r="K281" s="2"/>
      <c r="L281" s="2"/>
      <c r="M281" s="2"/>
      <c r="N281" s="4"/>
      <c r="O281" s="2"/>
      <c r="P281" s="2"/>
      <c r="Q281" s="2"/>
      <c r="R281" s="2"/>
      <c r="S281" s="2"/>
      <c r="T281" s="2"/>
      <c r="U281" s="3"/>
      <c r="V281" s="38"/>
      <c r="W281" s="38"/>
      <c r="X281" s="38"/>
      <c r="Y281" s="38"/>
    </row>
    <row r="282" spans="1:25" ht="16.5" x14ac:dyDescent="0.4">
      <c r="A282" s="5" t="s">
        <v>156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38"/>
      <c r="W282" s="38"/>
      <c r="X282" s="38"/>
      <c r="Y282" s="38"/>
    </row>
    <row r="283" spans="1:25" ht="16.5" x14ac:dyDescent="0.4">
      <c r="A283" s="5" t="s">
        <v>153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38"/>
      <c r="W283" s="38"/>
      <c r="X283" s="38"/>
      <c r="Y283" s="38"/>
    </row>
    <row r="284" spans="1:25" ht="16.5" x14ac:dyDescent="0.4">
      <c r="A284" s="5" t="s">
        <v>157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38"/>
      <c r="W284" s="38"/>
      <c r="X284" s="38"/>
      <c r="Y284" s="38"/>
    </row>
    <row r="285" spans="1:25" ht="16.5" x14ac:dyDescent="0.4">
      <c r="A285" s="5" t="s">
        <v>154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38"/>
      <c r="W285" s="38"/>
      <c r="X285" s="38"/>
      <c r="Y285" s="38"/>
    </row>
    <row r="286" spans="1:25" ht="16.5" x14ac:dyDescent="0.4">
      <c r="A286" s="5" t="s">
        <v>158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38"/>
      <c r="W286" s="38"/>
      <c r="X286" s="38"/>
      <c r="Y286" s="38"/>
    </row>
    <row r="287" spans="1:25" ht="16.5" x14ac:dyDescent="0.4">
      <c r="A287" s="5" t="s">
        <v>155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38"/>
      <c r="W287" s="38"/>
      <c r="X287" s="38"/>
      <c r="Y287" s="38"/>
    </row>
    <row r="288" spans="1:25" ht="16.5" x14ac:dyDescent="0.4">
      <c r="A288" s="5" t="s">
        <v>159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38"/>
      <c r="W288" s="38"/>
      <c r="X288" s="38"/>
      <c r="Y288" s="38"/>
    </row>
    <row r="289" spans="1:25" ht="16.5" x14ac:dyDescent="0.4">
      <c r="A289" s="5" t="s">
        <v>164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38"/>
      <c r="W289" s="38"/>
      <c r="X289" s="38"/>
      <c r="Y289" s="38"/>
    </row>
    <row r="290" spans="1:25" ht="16.5" x14ac:dyDescent="0.4">
      <c r="A290" s="5" t="s">
        <v>162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38"/>
      <c r="W290" s="38"/>
      <c r="X290" s="38"/>
      <c r="Y290" s="38"/>
    </row>
    <row r="291" spans="1:25" ht="16.5" x14ac:dyDescent="0.4">
      <c r="A291" s="5" t="s">
        <v>150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38"/>
      <c r="W291" s="38"/>
      <c r="X291" s="38"/>
      <c r="Y291" s="38"/>
    </row>
    <row r="292" spans="1:25" ht="16.5" x14ac:dyDescent="0.4">
      <c r="A292" s="5" t="s">
        <v>151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38"/>
      <c r="W292" s="38"/>
      <c r="X292" s="38"/>
      <c r="Y292" s="38"/>
    </row>
    <row r="293" spans="1:25" x14ac:dyDescent="0.35">
      <c r="V293" s="38"/>
      <c r="W293" s="38"/>
      <c r="X293" s="38"/>
      <c r="Y293" s="38"/>
    </row>
    <row r="294" spans="1:25" x14ac:dyDescent="0.35">
      <c r="V294" s="38"/>
      <c r="W294" s="38"/>
      <c r="X294" s="38"/>
      <c r="Y294" s="38"/>
    </row>
    <row r="295" spans="1:25" x14ac:dyDescent="0.35">
      <c r="V295" s="38"/>
      <c r="W295" s="38"/>
      <c r="X295" s="38"/>
      <c r="Y295" s="38"/>
    </row>
    <row r="296" spans="1:25" x14ac:dyDescent="0.35">
      <c r="V296" s="38"/>
      <c r="W296" s="38"/>
      <c r="X296" s="38"/>
      <c r="Y296" s="38"/>
    </row>
    <row r="297" spans="1:25" x14ac:dyDescent="0.35">
      <c r="V297" s="38"/>
      <c r="W297" s="38"/>
      <c r="X297" s="38"/>
      <c r="Y297" s="38"/>
    </row>
    <row r="298" spans="1:25" x14ac:dyDescent="0.35">
      <c r="V298" s="38"/>
      <c r="W298" s="38"/>
      <c r="X298" s="38"/>
      <c r="Y298" s="38"/>
    </row>
    <row r="299" spans="1:25" x14ac:dyDescent="0.35">
      <c r="V299" s="38"/>
      <c r="W299" s="38"/>
      <c r="X299" s="38"/>
      <c r="Y299" s="38"/>
    </row>
    <row r="300" spans="1:25" x14ac:dyDescent="0.35">
      <c r="V300" s="38"/>
      <c r="W300" s="38"/>
      <c r="X300" s="38"/>
      <c r="Y300" s="38"/>
    </row>
    <row r="301" spans="1:25" x14ac:dyDescent="0.35">
      <c r="A301" s="7" t="s">
        <v>9</v>
      </c>
      <c r="V301" s="38"/>
      <c r="W301" s="38"/>
      <c r="X301" s="38"/>
      <c r="Y301" s="38"/>
    </row>
    <row r="302" spans="1:25" x14ac:dyDescent="0.35">
      <c r="A302" s="10" t="s">
        <v>0</v>
      </c>
      <c r="B302" s="11" t="s">
        <v>46</v>
      </c>
      <c r="C302" s="11" t="s">
        <v>26</v>
      </c>
      <c r="D302" s="11" t="s">
        <v>46</v>
      </c>
      <c r="E302" s="11" t="s">
        <v>28</v>
      </c>
      <c r="F302" s="11" t="s">
        <v>43</v>
      </c>
      <c r="G302" s="11" t="s">
        <v>43</v>
      </c>
      <c r="H302" s="11" t="s">
        <v>14</v>
      </c>
      <c r="I302" s="11" t="s">
        <v>138</v>
      </c>
      <c r="J302" s="11" t="s">
        <v>30</v>
      </c>
      <c r="K302" s="11" t="s">
        <v>135</v>
      </c>
      <c r="L302" s="11" t="s">
        <v>13</v>
      </c>
      <c r="M302" s="11" t="s">
        <v>13</v>
      </c>
      <c r="N302" s="11" t="s">
        <v>31</v>
      </c>
      <c r="O302" s="11" t="s">
        <v>33</v>
      </c>
      <c r="P302" s="11" t="s">
        <v>33</v>
      </c>
      <c r="Q302" s="11" t="s">
        <v>144</v>
      </c>
      <c r="R302" s="11" t="s">
        <v>35</v>
      </c>
      <c r="S302" s="12" t="s">
        <v>37</v>
      </c>
      <c r="T302" s="11" t="s">
        <v>39</v>
      </c>
      <c r="U302" s="11" t="s">
        <v>41</v>
      </c>
      <c r="V302" s="38"/>
      <c r="W302" s="48"/>
      <c r="X302" s="48"/>
      <c r="Y302" s="38"/>
    </row>
    <row r="303" spans="1:25" ht="15.75" thickBot="1" x14ac:dyDescent="0.4">
      <c r="A303" s="13"/>
      <c r="B303" s="14" t="s">
        <v>48</v>
      </c>
      <c r="C303" s="14" t="s">
        <v>27</v>
      </c>
      <c r="D303" s="14" t="s">
        <v>47</v>
      </c>
      <c r="E303" s="14" t="s">
        <v>29</v>
      </c>
      <c r="F303" s="14" t="s">
        <v>44</v>
      </c>
      <c r="G303" s="14" t="s">
        <v>45</v>
      </c>
      <c r="H303" s="15" t="s">
        <v>137</v>
      </c>
      <c r="I303" s="14" t="s">
        <v>139</v>
      </c>
      <c r="J303" s="14" t="s">
        <v>145</v>
      </c>
      <c r="K303" s="14" t="s">
        <v>136</v>
      </c>
      <c r="L303" s="14" t="s">
        <v>134</v>
      </c>
      <c r="M303" s="14" t="s">
        <v>152</v>
      </c>
      <c r="N303" s="14" t="s">
        <v>32</v>
      </c>
      <c r="O303" s="14" t="s">
        <v>34</v>
      </c>
      <c r="P303" s="14" t="s">
        <v>133</v>
      </c>
      <c r="Q303" s="16" t="s">
        <v>143</v>
      </c>
      <c r="R303" s="14" t="s">
        <v>36</v>
      </c>
      <c r="S303" s="17" t="s">
        <v>38</v>
      </c>
      <c r="T303" s="14" t="s">
        <v>40</v>
      </c>
      <c r="U303" s="14" t="s">
        <v>42</v>
      </c>
      <c r="V303" s="38"/>
      <c r="W303" s="48"/>
      <c r="X303" s="48"/>
      <c r="Y303" s="38"/>
    </row>
    <row r="304" spans="1:25" ht="15.75" thickBot="1" x14ac:dyDescent="0.4">
      <c r="A304" s="39" t="s">
        <v>24</v>
      </c>
      <c r="B304" s="40"/>
      <c r="C304" s="40"/>
      <c r="D304" s="40"/>
      <c r="E304" s="40"/>
      <c r="F304" s="40"/>
      <c r="G304" s="40"/>
      <c r="H304" s="50"/>
      <c r="I304" s="50">
        <f>I306+I307+I308+I309+I310+I311+I312</f>
        <v>936000</v>
      </c>
      <c r="J304" s="50">
        <f>J305+J306+J307+J308+J309+J310+J311+J312</f>
        <v>3350400</v>
      </c>
      <c r="K304" s="40"/>
      <c r="L304" s="40"/>
      <c r="M304" s="40"/>
      <c r="N304" s="50"/>
      <c r="O304" s="50"/>
      <c r="P304" s="40"/>
      <c r="Q304" s="59"/>
      <c r="R304" s="40"/>
      <c r="S304" s="40"/>
      <c r="T304" s="40"/>
      <c r="U304" s="50">
        <f>H304+I304+J304+N304+O304</f>
        <v>4286400</v>
      </c>
      <c r="V304" s="38"/>
      <c r="W304" s="51"/>
      <c r="X304" s="51"/>
      <c r="Y304" s="38"/>
    </row>
    <row r="305" spans="1:25" x14ac:dyDescent="0.35">
      <c r="A305" s="25" t="s">
        <v>9</v>
      </c>
      <c r="B305" s="25"/>
      <c r="C305" s="25"/>
      <c r="D305" s="25"/>
      <c r="E305" s="25"/>
      <c r="F305" s="25"/>
      <c r="G305" s="25"/>
      <c r="H305" s="43"/>
      <c r="I305" s="61"/>
      <c r="J305" s="25">
        <v>10000</v>
      </c>
      <c r="K305" s="25"/>
      <c r="L305" s="25"/>
      <c r="M305" s="25"/>
      <c r="N305" s="43"/>
      <c r="O305" s="43"/>
      <c r="P305" s="25"/>
      <c r="Q305" s="43"/>
      <c r="R305" s="25"/>
      <c r="S305" s="25"/>
      <c r="T305" s="25"/>
      <c r="U305" s="56">
        <f t="shared" ref="U305:U312" si="26">H305+I305+J305+N305+O305</f>
        <v>10000</v>
      </c>
      <c r="V305" s="51"/>
      <c r="W305" s="44">
        <v>60000</v>
      </c>
      <c r="X305" s="44"/>
      <c r="Y305" s="38"/>
    </row>
    <row r="306" spans="1:25" x14ac:dyDescent="0.35">
      <c r="A306" s="29" t="s">
        <v>118</v>
      </c>
      <c r="B306" s="29"/>
      <c r="C306" s="29"/>
      <c r="D306" s="29"/>
      <c r="E306" s="29"/>
      <c r="F306" s="29"/>
      <c r="G306" s="29"/>
      <c r="H306" s="29"/>
      <c r="I306" s="29">
        <f>V306/2</f>
        <v>168000</v>
      </c>
      <c r="J306" s="25">
        <f t="shared" ref="J306:J312" si="27">W306/2</f>
        <v>351600</v>
      </c>
      <c r="K306" s="29"/>
      <c r="L306" s="29"/>
      <c r="M306" s="29"/>
      <c r="N306" s="29"/>
      <c r="O306" s="45"/>
      <c r="P306" s="29"/>
      <c r="Q306" s="29"/>
      <c r="R306" s="29"/>
      <c r="S306" s="29"/>
      <c r="T306" s="29"/>
      <c r="U306" s="57">
        <f t="shared" si="26"/>
        <v>519600</v>
      </c>
      <c r="V306" s="44">
        <v>336000</v>
      </c>
      <c r="W306" s="44">
        <f>683200+20000</f>
        <v>703200</v>
      </c>
      <c r="X306" s="44"/>
      <c r="Y306" s="38"/>
    </row>
    <row r="307" spans="1:25" x14ac:dyDescent="0.35">
      <c r="A307" s="29" t="s">
        <v>119</v>
      </c>
      <c r="B307" s="29"/>
      <c r="C307" s="29"/>
      <c r="D307" s="29"/>
      <c r="E307" s="29"/>
      <c r="F307" s="29"/>
      <c r="G307" s="29"/>
      <c r="H307" s="29"/>
      <c r="I307" s="29">
        <f t="shared" ref="I307:I312" si="28">V307/2</f>
        <v>72000</v>
      </c>
      <c r="J307" s="25">
        <f t="shared" si="27"/>
        <v>441200</v>
      </c>
      <c r="K307" s="29"/>
      <c r="L307" s="29"/>
      <c r="M307" s="29"/>
      <c r="N307" s="29"/>
      <c r="O307" s="45"/>
      <c r="P307" s="29"/>
      <c r="Q307" s="29"/>
      <c r="R307" s="29"/>
      <c r="S307" s="29"/>
      <c r="T307" s="29"/>
      <c r="U307" s="57">
        <f t="shared" si="26"/>
        <v>513200</v>
      </c>
      <c r="V307" s="44">
        <v>144000</v>
      </c>
      <c r="W307" s="44">
        <f>862400+20000</f>
        <v>882400</v>
      </c>
      <c r="X307" s="44"/>
      <c r="Y307" s="38"/>
    </row>
    <row r="308" spans="1:25" x14ac:dyDescent="0.35">
      <c r="A308" s="29" t="s">
        <v>120</v>
      </c>
      <c r="B308" s="29"/>
      <c r="C308" s="29"/>
      <c r="D308" s="29"/>
      <c r="E308" s="29"/>
      <c r="F308" s="29"/>
      <c r="G308" s="29"/>
      <c r="H308" s="29"/>
      <c r="I308" s="29">
        <f t="shared" si="28"/>
        <v>168000</v>
      </c>
      <c r="J308" s="25">
        <f t="shared" si="27"/>
        <v>861200</v>
      </c>
      <c r="K308" s="29"/>
      <c r="L308" s="29"/>
      <c r="M308" s="29"/>
      <c r="N308" s="29"/>
      <c r="O308" s="45"/>
      <c r="P308" s="29"/>
      <c r="Q308" s="29"/>
      <c r="R308" s="29"/>
      <c r="S308" s="29"/>
      <c r="T308" s="29"/>
      <c r="U308" s="57">
        <f t="shared" si="26"/>
        <v>1029200</v>
      </c>
      <c r="V308" s="44">
        <v>336000</v>
      </c>
      <c r="W308" s="44">
        <f>1702400+20000</f>
        <v>1722400</v>
      </c>
      <c r="X308" s="44"/>
      <c r="Y308" s="38"/>
    </row>
    <row r="309" spans="1:25" x14ac:dyDescent="0.35">
      <c r="A309" s="29" t="s">
        <v>121</v>
      </c>
      <c r="B309" s="29"/>
      <c r="C309" s="29"/>
      <c r="D309" s="29"/>
      <c r="E309" s="29"/>
      <c r="F309" s="29"/>
      <c r="G309" s="29"/>
      <c r="H309" s="29"/>
      <c r="I309" s="29">
        <f t="shared" si="28"/>
        <v>72000</v>
      </c>
      <c r="J309" s="25">
        <f t="shared" si="27"/>
        <v>340400</v>
      </c>
      <c r="K309" s="29"/>
      <c r="L309" s="29"/>
      <c r="M309" s="29"/>
      <c r="N309" s="29"/>
      <c r="O309" s="45"/>
      <c r="P309" s="29"/>
      <c r="Q309" s="29"/>
      <c r="R309" s="29"/>
      <c r="S309" s="29"/>
      <c r="T309" s="29"/>
      <c r="U309" s="57">
        <f t="shared" si="26"/>
        <v>412400</v>
      </c>
      <c r="V309" s="44">
        <v>144000</v>
      </c>
      <c r="W309" s="44">
        <f>660800+20000</f>
        <v>680800</v>
      </c>
      <c r="X309" s="44"/>
      <c r="Y309" s="38"/>
    </row>
    <row r="310" spans="1:25" x14ac:dyDescent="0.35">
      <c r="A310" s="29" t="s">
        <v>122</v>
      </c>
      <c r="B310" s="29"/>
      <c r="C310" s="29"/>
      <c r="D310" s="29"/>
      <c r="E310" s="29"/>
      <c r="F310" s="29"/>
      <c r="G310" s="29"/>
      <c r="H310" s="29"/>
      <c r="I310" s="29">
        <f t="shared" si="28"/>
        <v>192000</v>
      </c>
      <c r="J310" s="25">
        <f t="shared" si="27"/>
        <v>318000</v>
      </c>
      <c r="K310" s="29"/>
      <c r="L310" s="29"/>
      <c r="M310" s="29"/>
      <c r="N310" s="29"/>
      <c r="O310" s="45"/>
      <c r="P310" s="29"/>
      <c r="Q310" s="29"/>
      <c r="R310" s="29"/>
      <c r="S310" s="29"/>
      <c r="T310" s="29"/>
      <c r="U310" s="57">
        <f t="shared" si="26"/>
        <v>510000</v>
      </c>
      <c r="V310" s="44">
        <v>384000</v>
      </c>
      <c r="W310" s="44">
        <f>616000+20000</f>
        <v>636000</v>
      </c>
      <c r="X310" s="44"/>
      <c r="Y310" s="38"/>
    </row>
    <row r="311" spans="1:25" x14ac:dyDescent="0.35">
      <c r="A311" s="29" t="s">
        <v>123</v>
      </c>
      <c r="B311" s="29"/>
      <c r="C311" s="29"/>
      <c r="D311" s="29"/>
      <c r="E311" s="29"/>
      <c r="F311" s="29"/>
      <c r="G311" s="29"/>
      <c r="H311" s="29"/>
      <c r="I311" s="29">
        <f t="shared" si="28"/>
        <v>24000</v>
      </c>
      <c r="J311" s="25">
        <f t="shared" si="27"/>
        <v>250800</v>
      </c>
      <c r="K311" s="29"/>
      <c r="L311" s="29"/>
      <c r="M311" s="29"/>
      <c r="N311" s="29"/>
      <c r="O311" s="45"/>
      <c r="P311" s="29"/>
      <c r="Q311" s="29"/>
      <c r="R311" s="29"/>
      <c r="S311" s="29"/>
      <c r="T311" s="29"/>
      <c r="U311" s="57">
        <f t="shared" si="26"/>
        <v>274800</v>
      </c>
      <c r="V311" s="44">
        <v>48000</v>
      </c>
      <c r="W311" s="44">
        <f>481600+20000</f>
        <v>501600</v>
      </c>
      <c r="X311" s="44"/>
      <c r="Y311" s="38"/>
    </row>
    <row r="312" spans="1:25" x14ac:dyDescent="0.35">
      <c r="A312" s="29" t="s">
        <v>124</v>
      </c>
      <c r="B312" s="29"/>
      <c r="C312" s="29"/>
      <c r="D312" s="29"/>
      <c r="E312" s="29"/>
      <c r="F312" s="29"/>
      <c r="G312" s="29"/>
      <c r="H312" s="29"/>
      <c r="I312" s="29">
        <f t="shared" si="28"/>
        <v>240000</v>
      </c>
      <c r="J312" s="25">
        <f t="shared" si="27"/>
        <v>777200</v>
      </c>
      <c r="K312" s="29"/>
      <c r="L312" s="29"/>
      <c r="M312" s="29"/>
      <c r="N312" s="29"/>
      <c r="O312" s="45"/>
      <c r="P312" s="29"/>
      <c r="Q312" s="29"/>
      <c r="R312" s="29"/>
      <c r="S312" s="29"/>
      <c r="T312" s="29"/>
      <c r="U312" s="57">
        <f t="shared" si="26"/>
        <v>1017200</v>
      </c>
      <c r="V312" s="44">
        <v>480000</v>
      </c>
      <c r="W312" s="44">
        <f>1534400+20000</f>
        <v>1554400</v>
      </c>
      <c r="X312" s="44"/>
      <c r="Y312" s="38"/>
    </row>
    <row r="313" spans="1:25" x14ac:dyDescent="0.35">
      <c r="J313" s="18"/>
      <c r="N313" s="60"/>
      <c r="O313" s="55"/>
      <c r="U313" s="55"/>
      <c r="V313" s="38"/>
      <c r="W313" s="38"/>
      <c r="X313" s="38"/>
      <c r="Y313" s="38"/>
    </row>
    <row r="314" spans="1:25" ht="21.75" x14ac:dyDescent="0.5">
      <c r="A314" s="2" t="s">
        <v>160</v>
      </c>
      <c r="B314" s="2"/>
      <c r="C314" s="2"/>
      <c r="D314" s="2"/>
      <c r="E314" s="2"/>
      <c r="F314" s="2"/>
      <c r="G314" s="2"/>
      <c r="H314" s="4"/>
      <c r="I314" s="2"/>
      <c r="J314" s="2"/>
      <c r="K314" s="2"/>
      <c r="L314" s="2"/>
      <c r="M314" s="2"/>
      <c r="N314" s="4"/>
      <c r="O314" s="2"/>
      <c r="P314" s="2"/>
      <c r="Q314" s="2"/>
      <c r="R314" s="2"/>
      <c r="S314" s="2"/>
      <c r="T314" s="2"/>
      <c r="U314" s="3"/>
      <c r="V314" s="38"/>
      <c r="W314" s="38"/>
      <c r="X314" s="38"/>
      <c r="Y314" s="38"/>
    </row>
    <row r="315" spans="1:25" ht="16.5" x14ac:dyDescent="0.4">
      <c r="A315" s="5" t="s">
        <v>156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38"/>
      <c r="W315" s="38"/>
      <c r="X315" s="38"/>
      <c r="Y315" s="38"/>
    </row>
    <row r="316" spans="1:25" ht="16.5" x14ac:dyDescent="0.4">
      <c r="A316" s="5" t="s">
        <v>153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38"/>
      <c r="W316" s="38"/>
      <c r="X316" s="38"/>
      <c r="Y316" s="38"/>
    </row>
    <row r="317" spans="1:25" ht="16.5" x14ac:dyDescent="0.4">
      <c r="A317" s="5" t="s">
        <v>157</v>
      </c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38"/>
      <c r="W317" s="38"/>
      <c r="X317" s="38"/>
      <c r="Y317" s="38"/>
    </row>
    <row r="318" spans="1:25" ht="16.5" x14ac:dyDescent="0.4">
      <c r="A318" s="5" t="s">
        <v>154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38"/>
      <c r="W318" s="38"/>
      <c r="X318" s="38"/>
      <c r="Y318" s="38"/>
    </row>
    <row r="319" spans="1:25" ht="16.5" x14ac:dyDescent="0.4">
      <c r="A319" s="5" t="s">
        <v>158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38"/>
      <c r="W319" s="38"/>
      <c r="X319" s="38"/>
      <c r="Y319" s="38"/>
    </row>
    <row r="320" spans="1:25" ht="16.5" x14ac:dyDescent="0.4">
      <c r="A320" s="5" t="s">
        <v>155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38"/>
      <c r="W320" s="38"/>
      <c r="X320" s="38"/>
      <c r="Y320" s="38"/>
    </row>
    <row r="321" spans="1:25" ht="16.5" x14ac:dyDescent="0.4">
      <c r="A321" s="5" t="s">
        <v>159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38"/>
      <c r="W321" s="38"/>
      <c r="X321" s="38"/>
      <c r="Y321" s="38"/>
    </row>
    <row r="322" spans="1:25" ht="16.5" x14ac:dyDescent="0.4">
      <c r="A322" s="5" t="s">
        <v>164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38"/>
      <c r="W322" s="38"/>
      <c r="X322" s="38"/>
      <c r="Y322" s="38"/>
    </row>
    <row r="323" spans="1:25" ht="16.5" x14ac:dyDescent="0.4">
      <c r="A323" s="5" t="s">
        <v>162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38"/>
      <c r="W323" s="38"/>
      <c r="X323" s="38"/>
      <c r="Y323" s="38"/>
    </row>
    <row r="324" spans="1:25" ht="16.5" x14ac:dyDescent="0.4">
      <c r="A324" s="5" t="s">
        <v>150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38"/>
      <c r="W324" s="38"/>
      <c r="X324" s="38"/>
      <c r="Y324" s="38"/>
    </row>
    <row r="325" spans="1:25" ht="16.5" x14ac:dyDescent="0.4">
      <c r="A325" s="5" t="s">
        <v>151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38"/>
      <c r="W325" s="38"/>
      <c r="X325" s="38"/>
      <c r="Y325" s="38"/>
    </row>
    <row r="326" spans="1:25" x14ac:dyDescent="0.35">
      <c r="V326" s="38"/>
      <c r="W326" s="38"/>
      <c r="X326" s="38"/>
      <c r="Y326" s="38"/>
    </row>
    <row r="327" spans="1:25" x14ac:dyDescent="0.35">
      <c r="V327" s="38"/>
      <c r="W327" s="38"/>
      <c r="X327" s="38"/>
      <c r="Y327" s="38"/>
    </row>
    <row r="328" spans="1:25" x14ac:dyDescent="0.35">
      <c r="V328" s="38"/>
      <c r="W328" s="38"/>
      <c r="X328" s="38"/>
      <c r="Y328" s="38"/>
    </row>
    <row r="329" spans="1:25" x14ac:dyDescent="0.35">
      <c r="V329" s="38"/>
      <c r="W329" s="38"/>
      <c r="X329" s="38"/>
      <c r="Y329" s="38"/>
    </row>
    <row r="330" spans="1:25" x14ac:dyDescent="0.35">
      <c r="V330" s="38"/>
      <c r="W330" s="38"/>
      <c r="X330" s="38"/>
      <c r="Y330" s="38"/>
    </row>
    <row r="331" spans="1:25" x14ac:dyDescent="0.35">
      <c r="V331" s="38"/>
      <c r="W331" s="38"/>
      <c r="X331" s="38"/>
      <c r="Y331" s="38"/>
    </row>
    <row r="332" spans="1:25" x14ac:dyDescent="0.35">
      <c r="V332" s="38"/>
      <c r="W332" s="38"/>
      <c r="X332" s="38"/>
      <c r="Y332" s="38"/>
    </row>
    <row r="333" spans="1:25" x14ac:dyDescent="0.35">
      <c r="V333" s="38"/>
      <c r="W333" s="38"/>
      <c r="X333" s="38"/>
      <c r="Y333" s="38"/>
    </row>
    <row r="334" spans="1:25" x14ac:dyDescent="0.35">
      <c r="V334" s="38"/>
      <c r="W334" s="38"/>
      <c r="X334" s="38"/>
      <c r="Y334" s="38"/>
    </row>
    <row r="335" spans="1:25" x14ac:dyDescent="0.35">
      <c r="A335" s="7" t="s">
        <v>10</v>
      </c>
      <c r="V335" s="38"/>
      <c r="W335" s="38"/>
      <c r="X335" s="38"/>
      <c r="Y335" s="38"/>
    </row>
    <row r="336" spans="1:25" x14ac:dyDescent="0.35">
      <c r="A336" s="10" t="s">
        <v>0</v>
      </c>
      <c r="B336" s="11" t="s">
        <v>46</v>
      </c>
      <c r="C336" s="11" t="s">
        <v>26</v>
      </c>
      <c r="D336" s="11" t="s">
        <v>46</v>
      </c>
      <c r="E336" s="11" t="s">
        <v>28</v>
      </c>
      <c r="F336" s="11" t="s">
        <v>43</v>
      </c>
      <c r="G336" s="11" t="s">
        <v>43</v>
      </c>
      <c r="H336" s="11" t="s">
        <v>14</v>
      </c>
      <c r="I336" s="11" t="s">
        <v>138</v>
      </c>
      <c r="J336" s="11" t="s">
        <v>30</v>
      </c>
      <c r="K336" s="11" t="s">
        <v>135</v>
      </c>
      <c r="L336" s="11" t="s">
        <v>13</v>
      </c>
      <c r="M336" s="11" t="s">
        <v>13</v>
      </c>
      <c r="N336" s="11" t="s">
        <v>31</v>
      </c>
      <c r="O336" s="11" t="s">
        <v>33</v>
      </c>
      <c r="P336" s="11" t="s">
        <v>33</v>
      </c>
      <c r="Q336" s="11" t="s">
        <v>144</v>
      </c>
      <c r="R336" s="11" t="s">
        <v>35</v>
      </c>
      <c r="S336" s="12" t="s">
        <v>37</v>
      </c>
      <c r="T336" s="11" t="s">
        <v>39</v>
      </c>
      <c r="U336" s="11" t="s">
        <v>41</v>
      </c>
      <c r="V336" s="38"/>
      <c r="W336" s="48"/>
      <c r="X336" s="48"/>
      <c r="Y336" s="38"/>
    </row>
    <row r="337" spans="1:25" ht="15.75" thickBot="1" x14ac:dyDescent="0.4">
      <c r="A337" s="13"/>
      <c r="B337" s="14" t="s">
        <v>48</v>
      </c>
      <c r="C337" s="14" t="s">
        <v>27</v>
      </c>
      <c r="D337" s="14" t="s">
        <v>47</v>
      </c>
      <c r="E337" s="14" t="s">
        <v>29</v>
      </c>
      <c r="F337" s="14" t="s">
        <v>44</v>
      </c>
      <c r="G337" s="14" t="s">
        <v>45</v>
      </c>
      <c r="H337" s="15" t="s">
        <v>137</v>
      </c>
      <c r="I337" s="14" t="s">
        <v>139</v>
      </c>
      <c r="J337" s="14" t="s">
        <v>145</v>
      </c>
      <c r="K337" s="14" t="s">
        <v>136</v>
      </c>
      <c r="L337" s="14" t="s">
        <v>134</v>
      </c>
      <c r="M337" s="14" t="s">
        <v>152</v>
      </c>
      <c r="N337" s="14" t="s">
        <v>32</v>
      </c>
      <c r="O337" s="14" t="s">
        <v>34</v>
      </c>
      <c r="P337" s="14" t="s">
        <v>133</v>
      </c>
      <c r="Q337" s="16" t="s">
        <v>143</v>
      </c>
      <c r="R337" s="14" t="s">
        <v>36</v>
      </c>
      <c r="S337" s="17" t="s">
        <v>38</v>
      </c>
      <c r="T337" s="14" t="s">
        <v>40</v>
      </c>
      <c r="U337" s="14" t="s">
        <v>42</v>
      </c>
      <c r="V337" s="38"/>
      <c r="W337" s="48"/>
      <c r="X337" s="48"/>
      <c r="Y337" s="38"/>
    </row>
    <row r="338" spans="1:25" ht="15.75" thickBot="1" x14ac:dyDescent="0.4">
      <c r="A338" s="39" t="s">
        <v>25</v>
      </c>
      <c r="B338" s="40"/>
      <c r="C338" s="40"/>
      <c r="D338" s="40"/>
      <c r="E338" s="40"/>
      <c r="F338" s="40"/>
      <c r="G338" s="40"/>
      <c r="H338" s="50"/>
      <c r="I338" s="50">
        <f>I340+I341+I342+I343+I344+I345+I346</f>
        <v>1416000</v>
      </c>
      <c r="J338" s="62">
        <f>J339+J340+J341+J342+J343+J344+J345+J346</f>
        <v>3339200</v>
      </c>
      <c r="K338" s="40"/>
      <c r="L338" s="40"/>
      <c r="M338" s="40"/>
      <c r="N338" s="50"/>
      <c r="O338" s="50"/>
      <c r="P338" s="40"/>
      <c r="Q338" s="59"/>
      <c r="R338" s="59"/>
      <c r="S338" s="59"/>
      <c r="T338" s="59"/>
      <c r="U338" s="50">
        <f>H338+I338+J338+N338+O338</f>
        <v>4755200</v>
      </c>
      <c r="V338" s="38"/>
      <c r="W338" s="63"/>
      <c r="X338" s="51"/>
      <c r="Y338" s="38"/>
    </row>
    <row r="339" spans="1:25" x14ac:dyDescent="0.35">
      <c r="A339" s="25" t="s">
        <v>10</v>
      </c>
      <c r="B339" s="25"/>
      <c r="C339" s="25"/>
      <c r="D339" s="25"/>
      <c r="E339" s="25"/>
      <c r="F339" s="25"/>
      <c r="G339" s="25"/>
      <c r="H339" s="43"/>
      <c r="I339" s="43"/>
      <c r="J339" s="64">
        <v>10000</v>
      </c>
      <c r="K339" s="25"/>
      <c r="L339" s="25"/>
      <c r="M339" s="25"/>
      <c r="N339" s="43"/>
      <c r="O339" s="43"/>
      <c r="P339" s="25"/>
      <c r="Q339" s="43"/>
      <c r="R339" s="43"/>
      <c r="S339" s="43"/>
      <c r="T339" s="43"/>
      <c r="U339" s="56">
        <f t="shared" ref="U339:U343" si="29">H339+I339+J339+N339+O339</f>
        <v>10000</v>
      </c>
      <c r="V339" s="44"/>
      <c r="W339" s="65">
        <v>60000</v>
      </c>
      <c r="X339" s="44"/>
      <c r="Y339" s="38"/>
    </row>
    <row r="340" spans="1:25" x14ac:dyDescent="0.35">
      <c r="A340" s="29" t="s">
        <v>125</v>
      </c>
      <c r="B340" s="29"/>
      <c r="C340" s="29"/>
      <c r="D340" s="29"/>
      <c r="E340" s="29"/>
      <c r="F340" s="29"/>
      <c r="G340" s="29"/>
      <c r="H340" s="29"/>
      <c r="I340" s="29">
        <f>V340/2</f>
        <v>144000</v>
      </c>
      <c r="J340" s="64">
        <f t="shared" ref="J340:J346" si="30">W340/2</f>
        <v>430000</v>
      </c>
      <c r="K340" s="29"/>
      <c r="L340" s="29"/>
      <c r="M340" s="29"/>
      <c r="N340" s="29"/>
      <c r="O340" s="45"/>
      <c r="P340" s="29"/>
      <c r="Q340" s="29"/>
      <c r="R340" s="29"/>
      <c r="S340" s="29"/>
      <c r="T340" s="29"/>
      <c r="U340" s="57">
        <f t="shared" si="29"/>
        <v>574000</v>
      </c>
      <c r="V340" s="44">
        <v>288000</v>
      </c>
      <c r="W340" s="44">
        <f>840000+20000</f>
        <v>860000</v>
      </c>
      <c r="X340" s="44"/>
      <c r="Y340" s="38"/>
    </row>
    <row r="341" spans="1:25" x14ac:dyDescent="0.35">
      <c r="A341" s="29" t="s">
        <v>126</v>
      </c>
      <c r="B341" s="29"/>
      <c r="C341" s="29"/>
      <c r="D341" s="29"/>
      <c r="E341" s="29"/>
      <c r="F341" s="29"/>
      <c r="G341" s="29"/>
      <c r="H341" s="29"/>
      <c r="I341" s="29">
        <f t="shared" ref="I341:I346" si="31">V341/2</f>
        <v>120000</v>
      </c>
      <c r="J341" s="64">
        <f t="shared" si="30"/>
        <v>424400</v>
      </c>
      <c r="K341" s="29"/>
      <c r="L341" s="29"/>
      <c r="M341" s="29"/>
      <c r="N341" s="29"/>
      <c r="O341" s="45"/>
      <c r="P341" s="29"/>
      <c r="Q341" s="29"/>
      <c r="R341" s="29"/>
      <c r="S341" s="29"/>
      <c r="T341" s="29"/>
      <c r="U341" s="57">
        <f t="shared" si="29"/>
        <v>544400</v>
      </c>
      <c r="V341" s="44">
        <v>240000</v>
      </c>
      <c r="W341" s="44">
        <f>828800+20000</f>
        <v>848800</v>
      </c>
      <c r="X341" s="44"/>
      <c r="Y341" s="38"/>
    </row>
    <row r="342" spans="1:25" x14ac:dyDescent="0.35">
      <c r="A342" s="29" t="s">
        <v>140</v>
      </c>
      <c r="B342" s="29"/>
      <c r="C342" s="29"/>
      <c r="D342" s="29"/>
      <c r="E342" s="29"/>
      <c r="F342" s="29"/>
      <c r="G342" s="29"/>
      <c r="H342" s="29"/>
      <c r="I342" s="29">
        <f t="shared" si="31"/>
        <v>504000</v>
      </c>
      <c r="J342" s="64">
        <f t="shared" si="30"/>
        <v>827600</v>
      </c>
      <c r="K342" s="29"/>
      <c r="L342" s="29"/>
      <c r="M342" s="29"/>
      <c r="N342" s="29"/>
      <c r="O342" s="45"/>
      <c r="P342" s="29"/>
      <c r="Q342" s="29"/>
      <c r="R342" s="29"/>
      <c r="S342" s="29"/>
      <c r="T342" s="29"/>
      <c r="U342" s="57">
        <f t="shared" si="29"/>
        <v>1331600</v>
      </c>
      <c r="V342" s="44">
        <v>1008000</v>
      </c>
      <c r="W342" s="44">
        <f>1635200+20000</f>
        <v>1655200</v>
      </c>
      <c r="X342" s="44"/>
      <c r="Y342" s="38"/>
    </row>
    <row r="343" spans="1:25" x14ac:dyDescent="0.35">
      <c r="A343" s="29" t="s">
        <v>127</v>
      </c>
      <c r="B343" s="29"/>
      <c r="C343" s="29"/>
      <c r="D343" s="29"/>
      <c r="E343" s="29"/>
      <c r="F343" s="29"/>
      <c r="G343" s="29"/>
      <c r="H343" s="29"/>
      <c r="I343" s="29">
        <f t="shared" si="31"/>
        <v>96000</v>
      </c>
      <c r="J343" s="64">
        <f t="shared" si="30"/>
        <v>267600</v>
      </c>
      <c r="K343" s="29"/>
      <c r="L343" s="29"/>
      <c r="M343" s="29"/>
      <c r="N343" s="29"/>
      <c r="O343" s="45"/>
      <c r="P343" s="29"/>
      <c r="Q343" s="29"/>
      <c r="R343" s="29"/>
      <c r="S343" s="29"/>
      <c r="T343" s="29"/>
      <c r="U343" s="57">
        <f t="shared" si="29"/>
        <v>363600</v>
      </c>
      <c r="V343" s="44">
        <v>192000</v>
      </c>
      <c r="W343" s="44">
        <f>515200+20000</f>
        <v>535200</v>
      </c>
      <c r="X343" s="44"/>
      <c r="Y343" s="38"/>
    </row>
    <row r="344" spans="1:25" x14ac:dyDescent="0.35">
      <c r="A344" s="29" t="s">
        <v>128</v>
      </c>
      <c r="B344" s="29"/>
      <c r="C344" s="29"/>
      <c r="D344" s="29"/>
      <c r="E344" s="29"/>
      <c r="F344" s="29"/>
      <c r="G344" s="29"/>
      <c r="H344" s="29"/>
      <c r="I344" s="29">
        <f t="shared" si="31"/>
        <v>264000</v>
      </c>
      <c r="J344" s="64">
        <f t="shared" si="30"/>
        <v>519600</v>
      </c>
      <c r="K344" s="29"/>
      <c r="L344" s="29"/>
      <c r="M344" s="29"/>
      <c r="N344" s="33"/>
      <c r="O344" s="29"/>
      <c r="P344" s="29"/>
      <c r="Q344" s="29"/>
      <c r="R344" s="29"/>
      <c r="S344" s="29"/>
      <c r="T344" s="29"/>
      <c r="U344" s="57">
        <f t="shared" ref="U344:U346" si="32">H344+I344+J344+N344</f>
        <v>783600</v>
      </c>
      <c r="V344" s="44">
        <v>528000</v>
      </c>
      <c r="W344" s="44">
        <f>1019200+20000</f>
        <v>1039200</v>
      </c>
      <c r="X344" s="65"/>
      <c r="Y344" s="38"/>
    </row>
    <row r="345" spans="1:25" x14ac:dyDescent="0.35">
      <c r="A345" s="29" t="s">
        <v>129</v>
      </c>
      <c r="B345" s="29"/>
      <c r="C345" s="29"/>
      <c r="D345" s="29"/>
      <c r="E345" s="29"/>
      <c r="F345" s="29"/>
      <c r="G345" s="29"/>
      <c r="H345" s="29"/>
      <c r="I345" s="29">
        <f t="shared" si="31"/>
        <v>168000</v>
      </c>
      <c r="J345" s="64">
        <f t="shared" si="30"/>
        <v>418800</v>
      </c>
      <c r="K345" s="29"/>
      <c r="L345" s="29"/>
      <c r="M345" s="29"/>
      <c r="N345" s="33"/>
      <c r="O345" s="29"/>
      <c r="P345" s="29"/>
      <c r="Q345" s="29"/>
      <c r="R345" s="29"/>
      <c r="S345" s="29"/>
      <c r="T345" s="29"/>
      <c r="U345" s="57">
        <f t="shared" si="32"/>
        <v>586800</v>
      </c>
      <c r="V345" s="44">
        <v>336000</v>
      </c>
      <c r="W345" s="44">
        <f>817600+20000</f>
        <v>837600</v>
      </c>
      <c r="X345" s="65"/>
      <c r="Y345" s="38"/>
    </row>
    <row r="346" spans="1:25" x14ac:dyDescent="0.35">
      <c r="A346" s="29" t="s">
        <v>130</v>
      </c>
      <c r="B346" s="29"/>
      <c r="C346" s="29"/>
      <c r="D346" s="29"/>
      <c r="E346" s="29"/>
      <c r="F346" s="29"/>
      <c r="G346" s="29"/>
      <c r="H346" s="29"/>
      <c r="I346" s="29">
        <f t="shared" si="31"/>
        <v>120000</v>
      </c>
      <c r="J346" s="64">
        <f t="shared" si="30"/>
        <v>441200</v>
      </c>
      <c r="K346" s="29"/>
      <c r="L346" s="29"/>
      <c r="M346" s="29"/>
      <c r="N346" s="33"/>
      <c r="O346" s="29"/>
      <c r="P346" s="29"/>
      <c r="Q346" s="29"/>
      <c r="R346" s="29"/>
      <c r="S346" s="29"/>
      <c r="T346" s="29"/>
      <c r="U346" s="57">
        <f t="shared" si="32"/>
        <v>561200</v>
      </c>
      <c r="V346" s="44">
        <v>240000</v>
      </c>
      <c r="W346" s="44">
        <f>862400+20000</f>
        <v>882400</v>
      </c>
      <c r="X346" s="65"/>
      <c r="Y346" s="38"/>
    </row>
    <row r="347" spans="1:25" x14ac:dyDescent="0.35">
      <c r="J347" s="18"/>
      <c r="N347" s="55"/>
      <c r="O347" s="55"/>
      <c r="U347" s="66"/>
    </row>
    <row r="348" spans="1:25" x14ac:dyDescent="0.35">
      <c r="J348" s="18"/>
      <c r="N348" s="55"/>
      <c r="O348" s="55"/>
      <c r="U348" s="66"/>
    </row>
    <row r="349" spans="1:25" ht="21.75" x14ac:dyDescent="0.5">
      <c r="A349" s="2" t="s">
        <v>160</v>
      </c>
      <c r="B349" s="2"/>
      <c r="C349" s="2"/>
      <c r="D349" s="2"/>
      <c r="E349" s="2"/>
      <c r="F349" s="2"/>
      <c r="G349" s="2"/>
      <c r="H349" s="4"/>
      <c r="I349" s="2"/>
      <c r="J349" s="2"/>
      <c r="K349" s="2"/>
      <c r="L349" s="2"/>
      <c r="M349" s="2"/>
      <c r="N349" s="4"/>
      <c r="O349" s="2"/>
      <c r="P349" s="2"/>
      <c r="Q349" s="2"/>
      <c r="R349" s="2"/>
      <c r="S349" s="2"/>
      <c r="T349" s="2"/>
      <c r="U349" s="3"/>
    </row>
    <row r="350" spans="1:25" ht="16.5" x14ac:dyDescent="0.4">
      <c r="A350" s="5" t="s">
        <v>156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5" ht="16.5" x14ac:dyDescent="0.4">
      <c r="A351" s="5" t="s">
        <v>153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5" ht="16.5" x14ac:dyDescent="0.4">
      <c r="A352" s="5" t="s">
        <v>157</v>
      </c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6.5" x14ac:dyDescent="0.4">
      <c r="A353" s="5" t="s">
        <v>154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6.5" x14ac:dyDescent="0.4">
      <c r="A354" s="5" t="s">
        <v>158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6.5" x14ac:dyDescent="0.4">
      <c r="A355" s="5" t="s">
        <v>155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6.5" x14ac:dyDescent="0.4">
      <c r="A356" s="5" t="s">
        <v>159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6.5" x14ac:dyDescent="0.4">
      <c r="A357" s="5" t="s">
        <v>164</v>
      </c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6.5" x14ac:dyDescent="0.4">
      <c r="A358" s="5" t="s">
        <v>162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6.5" x14ac:dyDescent="0.4">
      <c r="A359" s="5" t="s">
        <v>150</v>
      </c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6.5" x14ac:dyDescent="0.4">
      <c r="A360" s="5" t="s">
        <v>151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9" spans="1:21" x14ac:dyDescent="0.35">
      <c r="A369" s="7" t="s">
        <v>132</v>
      </c>
    </row>
    <row r="370" spans="1:21" x14ac:dyDescent="0.35">
      <c r="A370" s="10" t="s">
        <v>0</v>
      </c>
      <c r="B370" s="11" t="s">
        <v>46</v>
      </c>
      <c r="C370" s="11" t="s">
        <v>26</v>
      </c>
      <c r="D370" s="11" t="s">
        <v>46</v>
      </c>
      <c r="E370" s="11" t="s">
        <v>28</v>
      </c>
      <c r="F370" s="11" t="s">
        <v>43</v>
      </c>
      <c r="G370" s="11" t="s">
        <v>43</v>
      </c>
      <c r="H370" s="11" t="s">
        <v>14</v>
      </c>
      <c r="I370" s="11" t="s">
        <v>138</v>
      </c>
      <c r="J370" s="11" t="s">
        <v>30</v>
      </c>
      <c r="K370" s="11" t="s">
        <v>135</v>
      </c>
      <c r="L370" s="11" t="s">
        <v>13</v>
      </c>
      <c r="M370" s="11" t="s">
        <v>13</v>
      </c>
      <c r="N370" s="11" t="s">
        <v>31</v>
      </c>
      <c r="O370" s="11" t="s">
        <v>33</v>
      </c>
      <c r="P370" s="11" t="s">
        <v>33</v>
      </c>
      <c r="Q370" s="11" t="s">
        <v>144</v>
      </c>
      <c r="R370" s="11" t="s">
        <v>35</v>
      </c>
      <c r="S370" s="12" t="s">
        <v>37</v>
      </c>
      <c r="T370" s="11" t="s">
        <v>39</v>
      </c>
      <c r="U370" s="11" t="s">
        <v>41</v>
      </c>
    </row>
    <row r="371" spans="1:21" ht="15.75" thickBot="1" x14ac:dyDescent="0.4">
      <c r="A371" s="13"/>
      <c r="B371" s="14" t="s">
        <v>48</v>
      </c>
      <c r="C371" s="14" t="s">
        <v>27</v>
      </c>
      <c r="D371" s="14" t="s">
        <v>47</v>
      </c>
      <c r="E371" s="14" t="s">
        <v>29</v>
      </c>
      <c r="F371" s="14" t="s">
        <v>44</v>
      </c>
      <c r="G371" s="14" t="s">
        <v>45</v>
      </c>
      <c r="H371" s="15" t="s">
        <v>137</v>
      </c>
      <c r="I371" s="14" t="s">
        <v>139</v>
      </c>
      <c r="J371" s="14" t="s">
        <v>145</v>
      </c>
      <c r="K371" s="14" t="s">
        <v>136</v>
      </c>
      <c r="L371" s="14" t="s">
        <v>134</v>
      </c>
      <c r="M371" s="14" t="s">
        <v>152</v>
      </c>
      <c r="N371" s="14" t="s">
        <v>32</v>
      </c>
      <c r="O371" s="14" t="s">
        <v>34</v>
      </c>
      <c r="P371" s="14" t="s">
        <v>133</v>
      </c>
      <c r="Q371" s="16" t="s">
        <v>143</v>
      </c>
      <c r="R371" s="14" t="s">
        <v>36</v>
      </c>
      <c r="S371" s="17" t="s">
        <v>38</v>
      </c>
      <c r="T371" s="14" t="s">
        <v>40</v>
      </c>
      <c r="U371" s="14" t="s">
        <v>42</v>
      </c>
    </row>
    <row r="372" spans="1:21" ht="15.75" thickBot="1" x14ac:dyDescent="0.4">
      <c r="A372" s="39" t="s">
        <v>132</v>
      </c>
      <c r="B372" s="40"/>
      <c r="C372" s="40"/>
      <c r="D372" s="40"/>
      <c r="E372" s="40"/>
      <c r="F372" s="40"/>
      <c r="G372" s="40"/>
      <c r="H372" s="67">
        <f>44800/2</f>
        <v>22400</v>
      </c>
      <c r="I372" s="67"/>
      <c r="J372" s="67"/>
      <c r="K372" s="40"/>
      <c r="L372" s="40"/>
      <c r="M372" s="40"/>
      <c r="N372" s="68"/>
      <c r="O372" s="40"/>
      <c r="P372" s="40"/>
      <c r="Q372" s="40"/>
      <c r="R372" s="40"/>
      <c r="S372" s="40"/>
      <c r="T372" s="40"/>
      <c r="U372" s="67">
        <f>H372+J372+N372+O372+Q372</f>
        <v>22400</v>
      </c>
    </row>
    <row r="374" spans="1:21" ht="21.75" x14ac:dyDescent="0.5">
      <c r="A374" s="2" t="s">
        <v>160</v>
      </c>
      <c r="B374" s="2"/>
      <c r="C374" s="2"/>
      <c r="D374" s="2"/>
      <c r="E374" s="2"/>
      <c r="F374" s="2"/>
      <c r="G374" s="2"/>
      <c r="H374" s="4"/>
      <c r="I374" s="2"/>
      <c r="J374" s="2"/>
      <c r="K374" s="2"/>
      <c r="L374" s="2"/>
      <c r="M374" s="2"/>
      <c r="N374" s="4"/>
      <c r="O374" s="2"/>
      <c r="P374" s="2"/>
      <c r="Q374" s="2"/>
      <c r="R374" s="2"/>
      <c r="S374" s="2"/>
      <c r="T374" s="2"/>
      <c r="U374" s="3"/>
    </row>
    <row r="375" spans="1:21" ht="16.5" x14ac:dyDescent="0.4">
      <c r="A375" s="5" t="s">
        <v>161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6.5" x14ac:dyDescent="0.4">
      <c r="A376" s="5" t="s">
        <v>154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6.5" x14ac:dyDescent="0.4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6.5" x14ac:dyDescent="0.4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21.75" x14ac:dyDescent="0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1" ht="21.75" x14ac:dyDescent="0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1" ht="21.75" x14ac:dyDescent="0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1" ht="21.75" x14ac:dyDescent="0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401" spans="1:21" x14ac:dyDescent="0.35">
      <c r="A401" s="7" t="s">
        <v>11</v>
      </c>
    </row>
    <row r="402" spans="1:21" x14ac:dyDescent="0.35">
      <c r="A402" s="10" t="s">
        <v>0</v>
      </c>
      <c r="B402" s="11" t="s">
        <v>46</v>
      </c>
      <c r="C402" s="11" t="s">
        <v>26</v>
      </c>
      <c r="D402" s="11" t="s">
        <v>46</v>
      </c>
      <c r="E402" s="11" t="s">
        <v>28</v>
      </c>
      <c r="F402" s="11" t="s">
        <v>43</v>
      </c>
      <c r="G402" s="11" t="s">
        <v>43</v>
      </c>
      <c r="H402" s="11" t="s">
        <v>14</v>
      </c>
      <c r="I402" s="11" t="s">
        <v>138</v>
      </c>
      <c r="J402" s="11" t="s">
        <v>30</v>
      </c>
      <c r="K402" s="11" t="s">
        <v>135</v>
      </c>
      <c r="L402" s="11" t="s">
        <v>13</v>
      </c>
      <c r="M402" s="11" t="s">
        <v>13</v>
      </c>
      <c r="N402" s="11" t="s">
        <v>31</v>
      </c>
      <c r="O402" s="11" t="s">
        <v>33</v>
      </c>
      <c r="P402" s="11" t="s">
        <v>33</v>
      </c>
      <c r="Q402" s="11" t="s">
        <v>144</v>
      </c>
      <c r="R402" s="11" t="s">
        <v>35</v>
      </c>
      <c r="S402" s="12" t="s">
        <v>37</v>
      </c>
      <c r="T402" s="11" t="s">
        <v>39</v>
      </c>
      <c r="U402" s="11" t="s">
        <v>41</v>
      </c>
    </row>
    <row r="403" spans="1:21" ht="15.75" thickBot="1" x14ac:dyDescent="0.4">
      <c r="A403" s="13"/>
      <c r="B403" s="14" t="s">
        <v>48</v>
      </c>
      <c r="C403" s="14" t="s">
        <v>27</v>
      </c>
      <c r="D403" s="14" t="s">
        <v>47</v>
      </c>
      <c r="E403" s="14" t="s">
        <v>29</v>
      </c>
      <c r="F403" s="14" t="s">
        <v>44</v>
      </c>
      <c r="G403" s="14" t="s">
        <v>45</v>
      </c>
      <c r="H403" s="15" t="s">
        <v>137</v>
      </c>
      <c r="I403" s="14" t="s">
        <v>139</v>
      </c>
      <c r="J403" s="14" t="s">
        <v>145</v>
      </c>
      <c r="K403" s="14" t="s">
        <v>136</v>
      </c>
      <c r="L403" s="14" t="s">
        <v>134</v>
      </c>
      <c r="M403" s="14" t="s">
        <v>152</v>
      </c>
      <c r="N403" s="14" t="s">
        <v>32</v>
      </c>
      <c r="O403" s="14" t="s">
        <v>34</v>
      </c>
      <c r="P403" s="14" t="s">
        <v>133</v>
      </c>
      <c r="Q403" s="16" t="s">
        <v>143</v>
      </c>
      <c r="R403" s="14" t="s">
        <v>36</v>
      </c>
      <c r="S403" s="17" t="s">
        <v>38</v>
      </c>
      <c r="T403" s="14" t="s">
        <v>40</v>
      </c>
      <c r="U403" s="14" t="s">
        <v>42</v>
      </c>
    </row>
    <row r="404" spans="1:21" ht="15.75" thickBot="1" x14ac:dyDescent="0.4">
      <c r="A404" s="39" t="s">
        <v>11</v>
      </c>
      <c r="B404" s="40"/>
      <c r="C404" s="40"/>
      <c r="D404" s="40"/>
      <c r="E404" s="40"/>
      <c r="F404" s="40"/>
      <c r="G404" s="40"/>
      <c r="H404" s="50"/>
      <c r="I404" s="50"/>
      <c r="J404" s="67">
        <f>440000/2</f>
        <v>220000</v>
      </c>
      <c r="K404" s="40"/>
      <c r="L404" s="40"/>
      <c r="M404" s="40"/>
      <c r="N404" s="62"/>
      <c r="O404" s="40"/>
      <c r="P404" s="40"/>
      <c r="Q404" s="59"/>
      <c r="R404" s="40"/>
      <c r="S404" s="40"/>
      <c r="T404" s="40"/>
      <c r="U404" s="67">
        <f>H404+J404+N404+O404+Q404</f>
        <v>220000</v>
      </c>
    </row>
    <row r="406" spans="1:21" ht="21.75" x14ac:dyDescent="0.5">
      <c r="A406" s="2" t="s">
        <v>166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37" spans="1:21" x14ac:dyDescent="0.35">
      <c r="A437" s="7" t="s">
        <v>143</v>
      </c>
    </row>
    <row r="438" spans="1:21" x14ac:dyDescent="0.35">
      <c r="A438" s="11" t="s">
        <v>0</v>
      </c>
      <c r="B438" s="11" t="s">
        <v>46</v>
      </c>
      <c r="C438" s="11" t="s">
        <v>26</v>
      </c>
      <c r="D438" s="11" t="s">
        <v>46</v>
      </c>
      <c r="E438" s="11" t="s">
        <v>28</v>
      </c>
      <c r="F438" s="11" t="s">
        <v>43</v>
      </c>
      <c r="G438" s="11" t="s">
        <v>43</v>
      </c>
      <c r="H438" s="11" t="s">
        <v>14</v>
      </c>
      <c r="I438" s="11" t="s">
        <v>138</v>
      </c>
      <c r="J438" s="11" t="s">
        <v>30</v>
      </c>
      <c r="K438" s="11" t="s">
        <v>135</v>
      </c>
      <c r="L438" s="11" t="s">
        <v>13</v>
      </c>
      <c r="M438" s="11" t="s">
        <v>13</v>
      </c>
      <c r="N438" s="11" t="s">
        <v>31</v>
      </c>
      <c r="O438" s="11" t="s">
        <v>33</v>
      </c>
      <c r="P438" s="11" t="s">
        <v>33</v>
      </c>
      <c r="Q438" s="11" t="s">
        <v>163</v>
      </c>
      <c r="R438" s="11" t="s">
        <v>35</v>
      </c>
      <c r="S438" s="12" t="s">
        <v>37</v>
      </c>
      <c r="T438" s="11" t="s">
        <v>39</v>
      </c>
      <c r="U438" s="11" t="s">
        <v>41</v>
      </c>
    </row>
    <row r="439" spans="1:21" x14ac:dyDescent="0.35">
      <c r="A439" s="69"/>
      <c r="B439" s="14" t="s">
        <v>48</v>
      </c>
      <c r="C439" s="14" t="s">
        <v>27</v>
      </c>
      <c r="D439" s="14" t="s">
        <v>47</v>
      </c>
      <c r="E439" s="14" t="s">
        <v>29</v>
      </c>
      <c r="F439" s="14" t="s">
        <v>44</v>
      </c>
      <c r="G439" s="14" t="s">
        <v>45</v>
      </c>
      <c r="H439" s="15" t="s">
        <v>137</v>
      </c>
      <c r="I439" s="14" t="s">
        <v>139</v>
      </c>
      <c r="J439" s="14" t="s">
        <v>145</v>
      </c>
      <c r="K439" s="14" t="s">
        <v>136</v>
      </c>
      <c r="L439" s="14" t="s">
        <v>134</v>
      </c>
      <c r="M439" s="14" t="s">
        <v>152</v>
      </c>
      <c r="N439" s="14" t="s">
        <v>32</v>
      </c>
      <c r="O439" s="14" t="s">
        <v>34</v>
      </c>
      <c r="P439" s="14" t="s">
        <v>133</v>
      </c>
      <c r="Q439" s="16" t="s">
        <v>143</v>
      </c>
      <c r="R439" s="14" t="s">
        <v>36</v>
      </c>
      <c r="S439" s="17" t="s">
        <v>38</v>
      </c>
      <c r="T439" s="14" t="s">
        <v>40</v>
      </c>
      <c r="U439" s="14" t="s">
        <v>42</v>
      </c>
    </row>
    <row r="440" spans="1:21" x14ac:dyDescent="0.35">
      <c r="A440" s="70" t="s">
        <v>143</v>
      </c>
      <c r="B440" s="33"/>
      <c r="C440" s="33"/>
      <c r="D440" s="33"/>
      <c r="E440" s="33"/>
      <c r="F440" s="33"/>
      <c r="G440" s="33"/>
      <c r="H440" s="33">
        <f>H879</f>
        <v>0</v>
      </c>
      <c r="I440" s="33">
        <f>I879</f>
        <v>0</v>
      </c>
      <c r="J440" s="33">
        <v>0</v>
      </c>
      <c r="K440" s="33">
        <v>2640650</v>
      </c>
      <c r="L440" s="33">
        <v>27650</v>
      </c>
      <c r="M440" s="33"/>
      <c r="N440" s="33"/>
      <c r="O440" s="33">
        <v>30700</v>
      </c>
      <c r="P440" s="33">
        <v>3951000</v>
      </c>
      <c r="Q440" s="33">
        <v>400000</v>
      </c>
      <c r="R440" s="34"/>
      <c r="S440" s="34"/>
      <c r="T440" s="34"/>
      <c r="U440" s="57">
        <f>SUM(B440:T440)</f>
        <v>7050000</v>
      </c>
    </row>
    <row r="442" spans="1:21" ht="21.75" x14ac:dyDescent="0.5">
      <c r="A442" s="2" t="s">
        <v>167</v>
      </c>
      <c r="B442" s="2"/>
      <c r="C442" s="2"/>
      <c r="D442" s="2"/>
      <c r="E442" s="2"/>
      <c r="F442" s="2"/>
      <c r="G442" s="2"/>
      <c r="H442" s="2"/>
      <c r="I442" s="2"/>
    </row>
  </sheetData>
  <mergeCells count="1">
    <mergeCell ref="A1:U1"/>
  </mergeCells>
  <pageMargins left="0.46" right="0" top="0.74803149606299213" bottom="0.74803149606299213" header="0.31496062992125984" footer="0.31496062992125984"/>
  <pageSetup paperSize="9" scale="91" orientation="landscape" r:id="rId1"/>
  <rowBreaks count="12" manualBreakCount="12">
    <brk id="30" max="20" man="1"/>
    <brk id="63" max="20" man="1"/>
    <brk id="96" max="20" man="1"/>
    <brk id="130" max="20" man="1"/>
    <brk id="164" max="20" man="1"/>
    <brk id="197" max="20" man="1"/>
    <brk id="230" max="20" man="1"/>
    <brk id="264" max="20" man="1"/>
    <brk id="298" max="20" man="1"/>
    <brk id="332" max="20" man="1"/>
    <brk id="366" max="20" man="1"/>
    <brk id="398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จัดสรร 63  (ไตรมาส 1-2 ฐาน 62)</vt:lpstr>
      <vt:lpstr>'จัดสรร 63  (ไตรมาส 1-2 ฐาน 62)'!Print_Area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</dc:creator>
  <cp:lastModifiedBy>Prinn Run</cp:lastModifiedBy>
  <cp:lastPrinted>2019-09-30T03:33:12Z</cp:lastPrinted>
  <dcterms:created xsi:type="dcterms:W3CDTF">2009-10-21T08:47:50Z</dcterms:created>
  <dcterms:modified xsi:type="dcterms:W3CDTF">2019-09-30T03:35:37Z</dcterms:modified>
</cp:coreProperties>
</file>