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งานทูล\งานงบประมาณทั้งหลาย\จัดงบประมาณ 64\"/>
    </mc:Choice>
  </mc:AlternateContent>
  <bookViews>
    <workbookView xWindow="0" yWindow="0" windowWidth="25200" windowHeight="12030" tabRatio="867" activeTab="2"/>
  </bookViews>
  <sheets>
    <sheet name="จัดสรรงบ 64 ทั้งปี (18-09-63)" sheetId="48" r:id="rId1"/>
    <sheet name="จัดสรรงบ 64  (ไตรมาส 1-2) " sheetId="52" r:id="rId2"/>
    <sheet name="จัดสรรงบ 64  (ไตรมาส 3-4)  " sheetId="55" r:id="rId3"/>
  </sheets>
  <calcPr calcId="152511"/>
</workbook>
</file>

<file path=xl/calcChain.xml><?xml version="1.0" encoding="utf-8"?>
<calcChain xmlns="http://schemas.openxmlformats.org/spreadsheetml/2006/main">
  <c r="U18" i="55" l="1"/>
  <c r="P484" i="55"/>
  <c r="L484" i="55"/>
  <c r="J484" i="55"/>
  <c r="J482" i="55" s="1"/>
  <c r="J18" i="55" s="1"/>
  <c r="H484" i="55"/>
  <c r="H482" i="55" s="1"/>
  <c r="Q483" i="55"/>
  <c r="Q482" i="55"/>
  <c r="Q18" i="55" s="1"/>
  <c r="Q5" i="55" s="1"/>
  <c r="P482" i="55"/>
  <c r="O482" i="55"/>
  <c r="M482" i="55"/>
  <c r="L482" i="55"/>
  <c r="J444" i="55"/>
  <c r="J17" i="55" s="1"/>
  <c r="U408" i="55"/>
  <c r="H408" i="55"/>
  <c r="J379" i="55"/>
  <c r="I379" i="55"/>
  <c r="U379" i="55" s="1"/>
  <c r="H379" i="55"/>
  <c r="J378" i="55"/>
  <c r="I378" i="55"/>
  <c r="U378" i="55" s="1"/>
  <c r="H378" i="55"/>
  <c r="J377" i="55"/>
  <c r="I377" i="55"/>
  <c r="U377" i="55" s="1"/>
  <c r="H377" i="55"/>
  <c r="J376" i="55"/>
  <c r="I376" i="55"/>
  <c r="U376" i="55" s="1"/>
  <c r="H376" i="55"/>
  <c r="J375" i="55"/>
  <c r="I375" i="55"/>
  <c r="U375" i="55" s="1"/>
  <c r="H375" i="55"/>
  <c r="J374" i="55"/>
  <c r="I374" i="55"/>
  <c r="U374" i="55" s="1"/>
  <c r="H374" i="55"/>
  <c r="J373" i="55"/>
  <c r="I373" i="55"/>
  <c r="U373" i="55" s="1"/>
  <c r="H373" i="55"/>
  <c r="J372" i="55"/>
  <c r="J371" i="55" s="1"/>
  <c r="J15" i="55" s="1"/>
  <c r="H371" i="55"/>
  <c r="J343" i="55"/>
  <c r="I343" i="55"/>
  <c r="H343" i="55"/>
  <c r="U343" i="55" s="1"/>
  <c r="J342" i="55"/>
  <c r="I342" i="55"/>
  <c r="H342" i="55"/>
  <c r="U342" i="55" s="1"/>
  <c r="J341" i="55"/>
  <c r="I341" i="55"/>
  <c r="H341" i="55"/>
  <c r="U341" i="55" s="1"/>
  <c r="J340" i="55"/>
  <c r="I340" i="55"/>
  <c r="H340" i="55"/>
  <c r="U340" i="55" s="1"/>
  <c r="J339" i="55"/>
  <c r="I339" i="55"/>
  <c r="H339" i="55"/>
  <c r="U339" i="55" s="1"/>
  <c r="J338" i="55"/>
  <c r="I338" i="55"/>
  <c r="H338" i="55"/>
  <c r="U338" i="55" s="1"/>
  <c r="J337" i="55"/>
  <c r="I337" i="55"/>
  <c r="H337" i="55"/>
  <c r="U337" i="55" s="1"/>
  <c r="U336" i="55"/>
  <c r="J336" i="55"/>
  <c r="J335" i="55"/>
  <c r="J14" i="55" s="1"/>
  <c r="I335" i="55"/>
  <c r="V307" i="55"/>
  <c r="U306" i="55"/>
  <c r="J306" i="55"/>
  <c r="I306" i="55"/>
  <c r="H306" i="55"/>
  <c r="U305" i="55"/>
  <c r="J305" i="55"/>
  <c r="I305" i="55"/>
  <c r="H305" i="55"/>
  <c r="U304" i="55"/>
  <c r="J304" i="55"/>
  <c r="I304" i="55"/>
  <c r="H304" i="55"/>
  <c r="U303" i="55"/>
  <c r="J303" i="55"/>
  <c r="I303" i="55"/>
  <c r="H303" i="55"/>
  <c r="U302" i="55"/>
  <c r="J302" i="55"/>
  <c r="I302" i="55"/>
  <c r="H302" i="55"/>
  <c r="U301" i="55"/>
  <c r="J301" i="55"/>
  <c r="I301" i="55"/>
  <c r="H301" i="55"/>
  <c r="U300" i="55"/>
  <c r="J300" i="55"/>
  <c r="I300" i="55"/>
  <c r="H300" i="55"/>
  <c r="U299" i="55"/>
  <c r="J299" i="55"/>
  <c r="I299" i="55"/>
  <c r="H299" i="55"/>
  <c r="U298" i="55"/>
  <c r="J298" i="55"/>
  <c r="J297" i="55" s="1"/>
  <c r="J13" i="55" s="1"/>
  <c r="I297" i="55"/>
  <c r="I13" i="55" s="1"/>
  <c r="H297" i="55"/>
  <c r="U297" i="55" s="1"/>
  <c r="J269" i="55"/>
  <c r="I269" i="55"/>
  <c r="H269" i="55"/>
  <c r="U269" i="55" s="1"/>
  <c r="J268" i="55"/>
  <c r="I268" i="55"/>
  <c r="H268" i="55"/>
  <c r="U268" i="55" s="1"/>
  <c r="J267" i="55"/>
  <c r="I267" i="55"/>
  <c r="H267" i="55"/>
  <c r="U267" i="55" s="1"/>
  <c r="J266" i="55"/>
  <c r="I266" i="55"/>
  <c r="H266" i="55"/>
  <c r="U266" i="55" s="1"/>
  <c r="J265" i="55"/>
  <c r="I265" i="55"/>
  <c r="H265" i="55"/>
  <c r="U265" i="55" s="1"/>
  <c r="J264" i="55"/>
  <c r="I264" i="55"/>
  <c r="H264" i="55"/>
  <c r="U264" i="55" s="1"/>
  <c r="J263" i="55"/>
  <c r="I263" i="55"/>
  <c r="H263" i="55"/>
  <c r="U263" i="55" s="1"/>
  <c r="J262" i="55"/>
  <c r="I262" i="55"/>
  <c r="H262" i="55"/>
  <c r="U262" i="55" s="1"/>
  <c r="J261" i="55"/>
  <c r="I261" i="55"/>
  <c r="I259" i="55" s="1"/>
  <c r="I12" i="55" s="1"/>
  <c r="H261" i="55"/>
  <c r="U261" i="55" s="1"/>
  <c r="J260" i="55"/>
  <c r="U260" i="55" s="1"/>
  <c r="J259" i="55"/>
  <c r="V233" i="55"/>
  <c r="J232" i="55"/>
  <c r="I232" i="55"/>
  <c r="H232" i="55"/>
  <c r="U232" i="55" s="1"/>
  <c r="J231" i="55"/>
  <c r="I231" i="55"/>
  <c r="H231" i="55"/>
  <c r="U231" i="55" s="1"/>
  <c r="J230" i="55"/>
  <c r="I230" i="55"/>
  <c r="H230" i="55"/>
  <c r="U230" i="55" s="1"/>
  <c r="J229" i="55"/>
  <c r="I229" i="55"/>
  <c r="H229" i="55"/>
  <c r="U229" i="55" s="1"/>
  <c r="J228" i="55"/>
  <c r="I228" i="55"/>
  <c r="H228" i="55"/>
  <c r="U228" i="55" s="1"/>
  <c r="J227" i="55"/>
  <c r="I227" i="55"/>
  <c r="H227" i="55"/>
  <c r="U227" i="55" s="1"/>
  <c r="J226" i="55"/>
  <c r="I226" i="55"/>
  <c r="H226" i="55"/>
  <c r="U226" i="55" s="1"/>
  <c r="J225" i="55"/>
  <c r="I225" i="55"/>
  <c r="H225" i="55"/>
  <c r="U225" i="55" s="1"/>
  <c r="U224" i="55"/>
  <c r="J224" i="55"/>
  <c r="X223" i="55"/>
  <c r="W223" i="55"/>
  <c r="J223" i="55"/>
  <c r="I223" i="55"/>
  <c r="H223" i="55"/>
  <c r="U223" i="55" s="1"/>
  <c r="V200" i="55"/>
  <c r="J199" i="55"/>
  <c r="I199" i="55"/>
  <c r="H199" i="55"/>
  <c r="U199" i="55" s="1"/>
  <c r="J198" i="55"/>
  <c r="I198" i="55"/>
  <c r="H198" i="55"/>
  <c r="U198" i="55" s="1"/>
  <c r="J197" i="55"/>
  <c r="I197" i="55"/>
  <c r="H197" i="55"/>
  <c r="U197" i="55" s="1"/>
  <c r="J196" i="55"/>
  <c r="I196" i="55"/>
  <c r="H196" i="55"/>
  <c r="U196" i="55" s="1"/>
  <c r="J195" i="55"/>
  <c r="I195" i="55"/>
  <c r="H195" i="55"/>
  <c r="U195" i="55" s="1"/>
  <c r="J194" i="55"/>
  <c r="I194" i="55"/>
  <c r="H194" i="55"/>
  <c r="U194" i="55" s="1"/>
  <c r="J193" i="55"/>
  <c r="I193" i="55"/>
  <c r="H193" i="55"/>
  <c r="U193" i="55" s="1"/>
  <c r="J192" i="55"/>
  <c r="I192" i="55"/>
  <c r="H192" i="55"/>
  <c r="U192" i="55" s="1"/>
  <c r="J191" i="55"/>
  <c r="I191" i="55"/>
  <c r="H191" i="55"/>
  <c r="U191" i="55" s="1"/>
  <c r="J190" i="55"/>
  <c r="I190" i="55"/>
  <c r="H190" i="55"/>
  <c r="U190" i="55" s="1"/>
  <c r="J189" i="55"/>
  <c r="I189" i="55"/>
  <c r="H189" i="55"/>
  <c r="U189" i="55" s="1"/>
  <c r="J188" i="55"/>
  <c r="I188" i="55"/>
  <c r="H188" i="55"/>
  <c r="U188" i="55" s="1"/>
  <c r="J187" i="55"/>
  <c r="U187" i="55" s="1"/>
  <c r="X186" i="55"/>
  <c r="W186" i="55"/>
  <c r="J186" i="55"/>
  <c r="I186" i="55"/>
  <c r="I10" i="55" s="1"/>
  <c r="H186" i="55"/>
  <c r="U186" i="55" s="1"/>
  <c r="V159" i="55"/>
  <c r="J158" i="55"/>
  <c r="I158" i="55"/>
  <c r="U158" i="55" s="1"/>
  <c r="H158" i="55"/>
  <c r="J157" i="55"/>
  <c r="I157" i="55"/>
  <c r="U157" i="55" s="1"/>
  <c r="H157" i="55"/>
  <c r="J156" i="55"/>
  <c r="I156" i="55"/>
  <c r="U156" i="55" s="1"/>
  <c r="H156" i="55"/>
  <c r="J155" i="55"/>
  <c r="I155" i="55"/>
  <c r="U155" i="55" s="1"/>
  <c r="H155" i="55"/>
  <c r="J154" i="55"/>
  <c r="I154" i="55"/>
  <c r="U154" i="55" s="1"/>
  <c r="H154" i="55"/>
  <c r="J153" i="55"/>
  <c r="I153" i="55"/>
  <c r="U153" i="55" s="1"/>
  <c r="H153" i="55"/>
  <c r="J152" i="55"/>
  <c r="I152" i="55"/>
  <c r="U152" i="55" s="1"/>
  <c r="H152" i="55"/>
  <c r="J151" i="55"/>
  <c r="I151" i="55"/>
  <c r="U151" i="55" s="1"/>
  <c r="H151" i="55"/>
  <c r="J150" i="55"/>
  <c r="U150" i="55" s="1"/>
  <c r="X149" i="55"/>
  <c r="W149" i="55"/>
  <c r="J149" i="55"/>
  <c r="J9" i="55" s="1"/>
  <c r="I149" i="55"/>
  <c r="I9" i="55" s="1"/>
  <c r="H149" i="55"/>
  <c r="J122" i="55"/>
  <c r="I122" i="55"/>
  <c r="U122" i="55" s="1"/>
  <c r="H122" i="55"/>
  <c r="J121" i="55"/>
  <c r="I121" i="55"/>
  <c r="U121" i="55" s="1"/>
  <c r="H121" i="55"/>
  <c r="J120" i="55"/>
  <c r="I120" i="55"/>
  <c r="U120" i="55" s="1"/>
  <c r="H120" i="55"/>
  <c r="J119" i="55"/>
  <c r="I119" i="55"/>
  <c r="U119" i="55" s="1"/>
  <c r="H119" i="55"/>
  <c r="J118" i="55"/>
  <c r="I118" i="55"/>
  <c r="U118" i="55" s="1"/>
  <c r="H118" i="55"/>
  <c r="J117" i="55"/>
  <c r="I117" i="55"/>
  <c r="U117" i="55" s="1"/>
  <c r="H117" i="55"/>
  <c r="J116" i="55"/>
  <c r="I116" i="55"/>
  <c r="U116" i="55" s="1"/>
  <c r="H116" i="55"/>
  <c r="J115" i="55"/>
  <c r="I115" i="55"/>
  <c r="U115" i="55" s="1"/>
  <c r="H115" i="55"/>
  <c r="J114" i="55"/>
  <c r="J113" i="55" s="1"/>
  <c r="J8" i="55" s="1"/>
  <c r="H113" i="55"/>
  <c r="J86" i="55"/>
  <c r="I86" i="55"/>
  <c r="H86" i="55"/>
  <c r="U86" i="55" s="1"/>
  <c r="J85" i="55"/>
  <c r="I85" i="55"/>
  <c r="H85" i="55"/>
  <c r="U85" i="55" s="1"/>
  <c r="J84" i="55"/>
  <c r="I84" i="55"/>
  <c r="H84" i="55"/>
  <c r="U84" i="55" s="1"/>
  <c r="J83" i="55"/>
  <c r="I83" i="55"/>
  <c r="H83" i="55"/>
  <c r="U83" i="55" s="1"/>
  <c r="J82" i="55"/>
  <c r="I82" i="55"/>
  <c r="H82" i="55"/>
  <c r="U82" i="55" s="1"/>
  <c r="J81" i="55"/>
  <c r="I81" i="55"/>
  <c r="H81" i="55"/>
  <c r="U81" i="55" s="1"/>
  <c r="J80" i="55"/>
  <c r="I80" i="55"/>
  <c r="H80" i="55"/>
  <c r="U80" i="55" s="1"/>
  <c r="J79" i="55"/>
  <c r="I79" i="55"/>
  <c r="H79" i="55"/>
  <c r="U79" i="55" s="1"/>
  <c r="J78" i="55"/>
  <c r="I78" i="55"/>
  <c r="H78" i="55"/>
  <c r="U78" i="55" s="1"/>
  <c r="U77" i="55"/>
  <c r="J77" i="55"/>
  <c r="J76" i="55"/>
  <c r="J7" i="55" s="1"/>
  <c r="I76" i="55"/>
  <c r="I7" i="55" s="1"/>
  <c r="J49" i="55"/>
  <c r="I49" i="55"/>
  <c r="U49" i="55" s="1"/>
  <c r="H49" i="55"/>
  <c r="J48" i="55"/>
  <c r="I48" i="55"/>
  <c r="U48" i="55" s="1"/>
  <c r="H48" i="55"/>
  <c r="J47" i="55"/>
  <c r="I47" i="55"/>
  <c r="U47" i="55" s="1"/>
  <c r="H47" i="55"/>
  <c r="J46" i="55"/>
  <c r="I46" i="55"/>
  <c r="U46" i="55" s="1"/>
  <c r="H46" i="55"/>
  <c r="J45" i="55"/>
  <c r="I45" i="55"/>
  <c r="U45" i="55" s="1"/>
  <c r="H45" i="55"/>
  <c r="J44" i="55"/>
  <c r="I44" i="55"/>
  <c r="U44" i="55" s="1"/>
  <c r="H44" i="55"/>
  <c r="J43" i="55"/>
  <c r="I43" i="55"/>
  <c r="U43" i="55" s="1"/>
  <c r="H43" i="55"/>
  <c r="J42" i="55"/>
  <c r="I42" i="55"/>
  <c r="U42" i="55" s="1"/>
  <c r="H42" i="55"/>
  <c r="J41" i="55"/>
  <c r="I41" i="55"/>
  <c r="U41" i="55" s="1"/>
  <c r="H41" i="55"/>
  <c r="J40" i="55"/>
  <c r="J39" i="55" s="1"/>
  <c r="J6" i="55" s="1"/>
  <c r="H39" i="55"/>
  <c r="P18" i="55"/>
  <c r="L18" i="55"/>
  <c r="L5" i="55" s="1"/>
  <c r="I18" i="55"/>
  <c r="I17" i="55"/>
  <c r="H17" i="55"/>
  <c r="J16" i="55"/>
  <c r="I16" i="55"/>
  <c r="H16" i="55"/>
  <c r="U16" i="55" s="1"/>
  <c r="H15" i="55"/>
  <c r="I14" i="55"/>
  <c r="H13" i="55"/>
  <c r="U13" i="55" s="1"/>
  <c r="J12" i="55"/>
  <c r="J11" i="55"/>
  <c r="I11" i="55"/>
  <c r="H11" i="55"/>
  <c r="U11" i="55" s="1"/>
  <c r="J10" i="55"/>
  <c r="H10" i="55"/>
  <c r="U10" i="55" s="1"/>
  <c r="H9" i="55"/>
  <c r="H8" i="55"/>
  <c r="H6" i="55"/>
  <c r="P5" i="55"/>
  <c r="O5" i="55"/>
  <c r="M5" i="55"/>
  <c r="J378" i="52"/>
  <c r="I378" i="52"/>
  <c r="H378" i="52"/>
  <c r="U378" i="52" s="1"/>
  <c r="J338" i="52"/>
  <c r="J339" i="52"/>
  <c r="J335" i="52" s="1"/>
  <c r="J340" i="52"/>
  <c r="J341" i="52"/>
  <c r="U341" i="52" s="1"/>
  <c r="J342" i="52"/>
  <c r="J343" i="52"/>
  <c r="U343" i="52" s="1"/>
  <c r="J337" i="52"/>
  <c r="J336" i="52"/>
  <c r="I343" i="52"/>
  <c r="I342" i="52"/>
  <c r="I341" i="52"/>
  <c r="I340" i="52"/>
  <c r="I339" i="52"/>
  <c r="I338" i="52"/>
  <c r="I337" i="52"/>
  <c r="H343" i="52"/>
  <c r="H342" i="52"/>
  <c r="H341" i="52"/>
  <c r="H340" i="52"/>
  <c r="H339" i="52"/>
  <c r="H338" i="52"/>
  <c r="H337" i="52"/>
  <c r="U342" i="52"/>
  <c r="U340" i="52"/>
  <c r="U336" i="52"/>
  <c r="H346" i="48"/>
  <c r="H340" i="48"/>
  <c r="H380" i="48"/>
  <c r="U9" i="55" l="1"/>
  <c r="J5" i="55"/>
  <c r="U17" i="55"/>
  <c r="U149" i="55"/>
  <c r="H18" i="55"/>
  <c r="U482" i="55"/>
  <c r="V2" i="55"/>
  <c r="W2" i="55" s="1"/>
  <c r="I39" i="55"/>
  <c r="I6" i="55" s="1"/>
  <c r="U6" i="55" s="1"/>
  <c r="U40" i="55"/>
  <c r="I113" i="55"/>
  <c r="I8" i="55" s="1"/>
  <c r="U8" i="55" s="1"/>
  <c r="U114" i="55"/>
  <c r="U113" i="55" s="1"/>
  <c r="H259" i="55"/>
  <c r="I371" i="55"/>
  <c r="I15" i="55" s="1"/>
  <c r="U15" i="55" s="1"/>
  <c r="U372" i="55"/>
  <c r="U444" i="55"/>
  <c r="H76" i="55"/>
  <c r="H335" i="55"/>
  <c r="U339" i="52"/>
  <c r="U338" i="52"/>
  <c r="H335" i="52"/>
  <c r="U337" i="52"/>
  <c r="I335" i="52"/>
  <c r="H14" i="55" l="1"/>
  <c r="U14" i="55" s="1"/>
  <c r="U335" i="55"/>
  <c r="U39" i="55"/>
  <c r="U76" i="55"/>
  <c r="H7" i="55"/>
  <c r="H12" i="55"/>
  <c r="U12" i="55" s="1"/>
  <c r="U259" i="55"/>
  <c r="I5" i="55"/>
  <c r="U371" i="55"/>
  <c r="U335" i="52"/>
  <c r="Q483" i="52"/>
  <c r="Q482" i="52" s="1"/>
  <c r="Q18" i="52" s="1"/>
  <c r="Q5" i="52" s="1"/>
  <c r="P484" i="52"/>
  <c r="O482" i="52"/>
  <c r="O5" i="52" s="1"/>
  <c r="L484" i="52"/>
  <c r="L482" i="52" s="1"/>
  <c r="L18" i="52" s="1"/>
  <c r="L5" i="52" s="1"/>
  <c r="J484" i="52"/>
  <c r="J482" i="52" s="1"/>
  <c r="J18" i="52" s="1"/>
  <c r="H484" i="52"/>
  <c r="H482" i="52" s="1"/>
  <c r="H18" i="52" s="1"/>
  <c r="J444" i="52"/>
  <c r="U444" i="52" s="1"/>
  <c r="H408" i="52"/>
  <c r="U408" i="52" s="1"/>
  <c r="J374" i="52"/>
  <c r="J375" i="52"/>
  <c r="J376" i="52"/>
  <c r="J377" i="52"/>
  <c r="J379" i="52"/>
  <c r="J373" i="52"/>
  <c r="J372" i="52"/>
  <c r="U372" i="52" s="1"/>
  <c r="I379" i="52"/>
  <c r="I377" i="52"/>
  <c r="I376" i="52"/>
  <c r="I375" i="52"/>
  <c r="I374" i="52"/>
  <c r="I373" i="52"/>
  <c r="H379" i="52"/>
  <c r="H377" i="52"/>
  <c r="H376" i="52"/>
  <c r="H375" i="52"/>
  <c r="H374" i="52"/>
  <c r="H373" i="52"/>
  <c r="J300" i="52"/>
  <c r="J301" i="52"/>
  <c r="J302" i="52"/>
  <c r="J303" i="52"/>
  <c r="J304" i="52"/>
  <c r="J305" i="52"/>
  <c r="J306" i="52"/>
  <c r="J299" i="52"/>
  <c r="J298" i="52"/>
  <c r="I306" i="52"/>
  <c r="I305" i="52"/>
  <c r="I304" i="52"/>
  <c r="I303" i="52"/>
  <c r="I302" i="52"/>
  <c r="I301" i="52"/>
  <c r="I300" i="52"/>
  <c r="I299" i="52"/>
  <c r="H306" i="52"/>
  <c r="H305" i="52"/>
  <c r="H304" i="52"/>
  <c r="H303" i="52"/>
  <c r="H302" i="52"/>
  <c r="H301" i="52"/>
  <c r="H300" i="52"/>
  <c r="H299" i="52"/>
  <c r="U299" i="52" s="1"/>
  <c r="J262" i="52"/>
  <c r="J263" i="52"/>
  <c r="J264" i="52"/>
  <c r="J265" i="52"/>
  <c r="J266" i="52"/>
  <c r="J267" i="52"/>
  <c r="J268" i="52"/>
  <c r="J269" i="52"/>
  <c r="J261" i="52"/>
  <c r="J260" i="52"/>
  <c r="U260" i="52" s="1"/>
  <c r="I269" i="52"/>
  <c r="I268" i="52"/>
  <c r="I267" i="52"/>
  <c r="I266" i="52"/>
  <c r="I265" i="52"/>
  <c r="I264" i="52"/>
  <c r="I263" i="52"/>
  <c r="I262" i="52"/>
  <c r="I261" i="52"/>
  <c r="H269" i="52"/>
  <c r="H268" i="52"/>
  <c r="H267" i="52"/>
  <c r="H266" i="52"/>
  <c r="H265" i="52"/>
  <c r="H264" i="52"/>
  <c r="H263" i="52"/>
  <c r="H262" i="52"/>
  <c r="H261" i="52"/>
  <c r="J226" i="52"/>
  <c r="J227" i="52"/>
  <c r="J228" i="52"/>
  <c r="J229" i="52"/>
  <c r="J230" i="52"/>
  <c r="J231" i="52"/>
  <c r="J232" i="52"/>
  <c r="J225" i="52"/>
  <c r="J224" i="52"/>
  <c r="U224" i="52" s="1"/>
  <c r="I232" i="52"/>
  <c r="I231" i="52"/>
  <c r="I230" i="52"/>
  <c r="I229" i="52"/>
  <c r="I228" i="52"/>
  <c r="I227" i="52"/>
  <c r="I226" i="52"/>
  <c r="I225" i="52"/>
  <c r="H232" i="52"/>
  <c r="H231" i="52"/>
  <c r="H230" i="52"/>
  <c r="H229" i="52"/>
  <c r="U229" i="52" s="1"/>
  <c r="H228" i="52"/>
  <c r="H227" i="52"/>
  <c r="H226" i="52"/>
  <c r="H225" i="52"/>
  <c r="U225" i="52" s="1"/>
  <c r="J189" i="52"/>
  <c r="J190" i="52"/>
  <c r="J191" i="52"/>
  <c r="J192" i="52"/>
  <c r="J193" i="52"/>
  <c r="J194" i="52"/>
  <c r="J195" i="52"/>
  <c r="J196" i="52"/>
  <c r="J197" i="52"/>
  <c r="J198" i="52"/>
  <c r="J199" i="52"/>
  <c r="J188" i="52"/>
  <c r="J187" i="52"/>
  <c r="I199" i="52"/>
  <c r="I198" i="52"/>
  <c r="I197" i="52"/>
  <c r="I196" i="52"/>
  <c r="I195" i="52"/>
  <c r="I194" i="52"/>
  <c r="I193" i="52"/>
  <c r="I192" i="52"/>
  <c r="I191" i="52"/>
  <c r="I190" i="52"/>
  <c r="I189" i="52"/>
  <c r="I188" i="52"/>
  <c r="H199" i="52"/>
  <c r="H198" i="52"/>
  <c r="H197" i="52"/>
  <c r="H196" i="52"/>
  <c r="H195" i="52"/>
  <c r="H194" i="52"/>
  <c r="H193" i="52"/>
  <c r="H192" i="52"/>
  <c r="H191" i="52"/>
  <c r="H190" i="52"/>
  <c r="U190" i="52" s="1"/>
  <c r="H189" i="52"/>
  <c r="H188" i="52"/>
  <c r="J152" i="52"/>
  <c r="J153" i="52"/>
  <c r="J154" i="52"/>
  <c r="J155" i="52"/>
  <c r="J156" i="52"/>
  <c r="J157" i="52"/>
  <c r="J158" i="52"/>
  <c r="J151" i="52"/>
  <c r="J150" i="52"/>
  <c r="I158" i="52"/>
  <c r="I157" i="52"/>
  <c r="I156" i="52"/>
  <c r="I155" i="52"/>
  <c r="I154" i="52"/>
  <c r="I153" i="52"/>
  <c r="I152" i="52"/>
  <c r="I151" i="52"/>
  <c r="H158" i="52"/>
  <c r="H157" i="52"/>
  <c r="U157" i="52" s="1"/>
  <c r="H156" i="52"/>
  <c r="H155" i="52"/>
  <c r="H154" i="52"/>
  <c r="H153" i="52"/>
  <c r="H152" i="52"/>
  <c r="H151" i="52"/>
  <c r="J116" i="52"/>
  <c r="J117" i="52"/>
  <c r="J118" i="52"/>
  <c r="J119" i="52"/>
  <c r="J120" i="52"/>
  <c r="J121" i="52"/>
  <c r="J122" i="52"/>
  <c r="J115" i="52"/>
  <c r="J114" i="52"/>
  <c r="U114" i="52" s="1"/>
  <c r="I122" i="52"/>
  <c r="I121" i="52"/>
  <c r="I120" i="52"/>
  <c r="I119" i="52"/>
  <c r="I118" i="52"/>
  <c r="I117" i="52"/>
  <c r="I116" i="52"/>
  <c r="I115" i="52"/>
  <c r="H122" i="52"/>
  <c r="H121" i="52"/>
  <c r="H120" i="52"/>
  <c r="H119" i="52"/>
  <c r="U119" i="52" s="1"/>
  <c r="H118" i="52"/>
  <c r="H117" i="52"/>
  <c r="H116" i="52"/>
  <c r="H115" i="52"/>
  <c r="J79" i="52"/>
  <c r="J80" i="52"/>
  <c r="J81" i="52"/>
  <c r="J82" i="52"/>
  <c r="J83" i="52"/>
  <c r="J84" i="52"/>
  <c r="J85" i="52"/>
  <c r="J86" i="52"/>
  <c r="J78" i="52"/>
  <c r="J77" i="52"/>
  <c r="U77" i="52" s="1"/>
  <c r="I86" i="52"/>
  <c r="I85" i="52"/>
  <c r="I84" i="52"/>
  <c r="I83" i="52"/>
  <c r="I82" i="52"/>
  <c r="I81" i="52"/>
  <c r="I80" i="52"/>
  <c r="I79" i="52"/>
  <c r="I78" i="52"/>
  <c r="H86" i="52"/>
  <c r="H85" i="52"/>
  <c r="H84" i="52"/>
  <c r="H83" i="52"/>
  <c r="H82" i="52"/>
  <c r="H81" i="52"/>
  <c r="H80" i="52"/>
  <c r="H79" i="52"/>
  <c r="H78" i="52"/>
  <c r="J42" i="52"/>
  <c r="J43" i="52"/>
  <c r="J44" i="52"/>
  <c r="J45" i="52"/>
  <c r="J46" i="52"/>
  <c r="J47" i="52"/>
  <c r="J48" i="52"/>
  <c r="J49" i="52"/>
  <c r="J41" i="52"/>
  <c r="J40" i="52"/>
  <c r="U40" i="52" s="1"/>
  <c r="I49" i="52"/>
  <c r="I48" i="52"/>
  <c r="I47" i="52"/>
  <c r="I46" i="52"/>
  <c r="I45" i="52"/>
  <c r="I44" i="52"/>
  <c r="I43" i="52"/>
  <c r="I42" i="52"/>
  <c r="I41" i="52"/>
  <c r="H49" i="52"/>
  <c r="H48" i="52"/>
  <c r="H47" i="52"/>
  <c r="H46" i="52"/>
  <c r="H45" i="52"/>
  <c r="H44" i="52"/>
  <c r="H43" i="52"/>
  <c r="H42" i="52"/>
  <c r="H41" i="52"/>
  <c r="P482" i="52"/>
  <c r="P18" i="52" s="1"/>
  <c r="P5" i="52" s="1"/>
  <c r="M482" i="52"/>
  <c r="V307" i="52"/>
  <c r="U298" i="52"/>
  <c r="V233" i="52"/>
  <c r="X223" i="52"/>
  <c r="W223" i="52"/>
  <c r="V200" i="52"/>
  <c r="U187" i="52"/>
  <c r="X186" i="52"/>
  <c r="W186" i="52"/>
  <c r="V159" i="52"/>
  <c r="X149" i="52"/>
  <c r="W149" i="52"/>
  <c r="I18" i="52"/>
  <c r="I17" i="52"/>
  <c r="H17" i="52"/>
  <c r="J16" i="52"/>
  <c r="I16" i="52"/>
  <c r="M5" i="52"/>
  <c r="U7" i="55" l="1"/>
  <c r="H5" i="55"/>
  <c r="U5" i="55" s="1"/>
  <c r="U121" i="52"/>
  <c r="U192" i="52"/>
  <c r="U196" i="52"/>
  <c r="U189" i="52"/>
  <c r="U263" i="52"/>
  <c r="U301" i="52"/>
  <c r="U373" i="52"/>
  <c r="U226" i="52"/>
  <c r="U230" i="52"/>
  <c r="H371" i="52"/>
  <c r="U47" i="52"/>
  <c r="U153" i="52"/>
  <c r="U188" i="52"/>
  <c r="U197" i="52"/>
  <c r="U193" i="52"/>
  <c r="U267" i="52"/>
  <c r="U305" i="52"/>
  <c r="J17" i="52"/>
  <c r="U374" i="52"/>
  <c r="U46" i="52"/>
  <c r="U41" i="52"/>
  <c r="U45" i="52"/>
  <c r="U49" i="52"/>
  <c r="H76" i="52"/>
  <c r="H7" i="52" s="1"/>
  <c r="U78" i="52"/>
  <c r="U85" i="52"/>
  <c r="U81" i="52"/>
  <c r="H113" i="52"/>
  <c r="H8" i="52" s="1"/>
  <c r="U120" i="52"/>
  <c r="I113" i="52"/>
  <c r="I8" i="52" s="1"/>
  <c r="U155" i="52"/>
  <c r="I149" i="52"/>
  <c r="I9" i="52" s="1"/>
  <c r="J149" i="52"/>
  <c r="J9" i="52" s="1"/>
  <c r="U156" i="52"/>
  <c r="U152" i="52"/>
  <c r="H186" i="52"/>
  <c r="H10" i="52" s="1"/>
  <c r="I186" i="52"/>
  <c r="I10" i="52" s="1"/>
  <c r="U198" i="52"/>
  <c r="U194" i="52"/>
  <c r="U227" i="52"/>
  <c r="U231" i="52"/>
  <c r="I223" i="52"/>
  <c r="I11" i="52" s="1"/>
  <c r="U232" i="52"/>
  <c r="H259" i="52"/>
  <c r="H12" i="52" s="1"/>
  <c r="U266" i="52"/>
  <c r="I259" i="52"/>
  <c r="I12" i="52" s="1"/>
  <c r="U265" i="52"/>
  <c r="U269" i="52"/>
  <c r="U268" i="52"/>
  <c r="U264" i="52"/>
  <c r="H297" i="52"/>
  <c r="U304" i="52"/>
  <c r="U303" i="52"/>
  <c r="I14" i="52"/>
  <c r="U375" i="52"/>
  <c r="U379" i="52"/>
  <c r="U376" i="52"/>
  <c r="U43" i="52"/>
  <c r="U80" i="52"/>
  <c r="U84" i="52"/>
  <c r="U117" i="52"/>
  <c r="H39" i="52"/>
  <c r="H6" i="52" s="1"/>
  <c r="U377" i="52"/>
  <c r="U118" i="52"/>
  <c r="J39" i="52"/>
  <c r="J6" i="52" s="1"/>
  <c r="U262" i="52"/>
  <c r="J186" i="52"/>
  <c r="J10" i="52" s="1"/>
  <c r="U150" i="52"/>
  <c r="I39" i="52"/>
  <c r="I6" i="52" s="1"/>
  <c r="H223" i="52"/>
  <c r="H11" i="52" s="1"/>
  <c r="J223" i="52"/>
  <c r="J11" i="52" s="1"/>
  <c r="U151" i="52"/>
  <c r="J76" i="52"/>
  <c r="J7" i="52" s="1"/>
  <c r="H149" i="52"/>
  <c r="H9" i="52" s="1"/>
  <c r="U261" i="52"/>
  <c r="H14" i="52"/>
  <c r="U86" i="52"/>
  <c r="U82" i="52"/>
  <c r="U199" i="52"/>
  <c r="U195" i="52"/>
  <c r="U191" i="52"/>
  <c r="J14" i="52"/>
  <c r="H16" i="52"/>
  <c r="U17" i="52"/>
  <c r="U116" i="52"/>
  <c r="U300" i="52"/>
  <c r="I371" i="52"/>
  <c r="I15" i="52" s="1"/>
  <c r="U122" i="52"/>
  <c r="J113" i="52"/>
  <c r="J8" i="52" s="1"/>
  <c r="J297" i="52"/>
  <c r="J13" i="52" s="1"/>
  <c r="J371" i="52"/>
  <c r="J15" i="52" s="1"/>
  <c r="U83" i="52"/>
  <c r="U79" i="52"/>
  <c r="U158" i="52"/>
  <c r="U154" i="52"/>
  <c r="U149" i="52" s="1"/>
  <c r="I297" i="52"/>
  <c r="I13" i="52" s="1"/>
  <c r="U18" i="52"/>
  <c r="U482" i="52"/>
  <c r="U16" i="52"/>
  <c r="U302" i="52"/>
  <c r="U306" i="52"/>
  <c r="H13" i="52"/>
  <c r="J259" i="52"/>
  <c r="J12" i="52" s="1"/>
  <c r="U228" i="52"/>
  <c r="U44" i="52"/>
  <c r="U48" i="52"/>
  <c r="U42" i="52"/>
  <c r="U115" i="52"/>
  <c r="I76" i="52"/>
  <c r="I7" i="52" s="1"/>
  <c r="H15" i="52"/>
  <c r="M5" i="48"/>
  <c r="O5" i="48"/>
  <c r="P5" i="48"/>
  <c r="Q5" i="48"/>
  <c r="L5" i="48"/>
  <c r="J486" i="48"/>
  <c r="Q486" i="48"/>
  <c r="P486" i="48"/>
  <c r="O486" i="48"/>
  <c r="M486" i="48"/>
  <c r="L486" i="48"/>
  <c r="H486" i="48"/>
  <c r="U486" i="48" l="1"/>
  <c r="U8" i="52"/>
  <c r="U39" i="52"/>
  <c r="U10" i="52"/>
  <c r="U9" i="52"/>
  <c r="U113" i="52"/>
  <c r="U223" i="52"/>
  <c r="U12" i="52"/>
  <c r="U259" i="52"/>
  <c r="U13" i="52"/>
  <c r="J5" i="52"/>
  <c r="U11" i="52"/>
  <c r="U297" i="52"/>
  <c r="U14" i="52"/>
  <c r="U186" i="52"/>
  <c r="V2" i="52"/>
  <c r="W2" i="52" s="1"/>
  <c r="U371" i="52"/>
  <c r="U15" i="52"/>
  <c r="I5" i="52"/>
  <c r="H5" i="52"/>
  <c r="U7" i="52"/>
  <c r="U76" i="52"/>
  <c r="U6" i="52"/>
  <c r="I381" i="48"/>
  <c r="I380" i="48"/>
  <c r="I379" i="48"/>
  <c r="I378" i="48"/>
  <c r="I377" i="48"/>
  <c r="I376" i="48"/>
  <c r="I375" i="48"/>
  <c r="I345" i="48"/>
  <c r="I346" i="48"/>
  <c r="I344" i="48"/>
  <c r="I343" i="48"/>
  <c r="I342" i="48"/>
  <c r="I341" i="48"/>
  <c r="I340" i="48"/>
  <c r="I309" i="48"/>
  <c r="I308" i="48"/>
  <c r="I307" i="48"/>
  <c r="I306" i="48"/>
  <c r="I305" i="48"/>
  <c r="I304" i="48"/>
  <c r="I303" i="48"/>
  <c r="I302" i="48"/>
  <c r="I273" i="48"/>
  <c r="I272" i="48"/>
  <c r="I271" i="48"/>
  <c r="I270" i="48"/>
  <c r="I269" i="48"/>
  <c r="I268" i="48"/>
  <c r="I267" i="48"/>
  <c r="I266" i="48"/>
  <c r="I265" i="48"/>
  <c r="I234" i="48"/>
  <c r="I233" i="48"/>
  <c r="I232" i="48"/>
  <c r="I231" i="48"/>
  <c r="I230" i="48"/>
  <c r="I229" i="48"/>
  <c r="I228" i="48"/>
  <c r="I227" i="48"/>
  <c r="I201" i="48"/>
  <c r="I200" i="48"/>
  <c r="I199" i="48"/>
  <c r="I198" i="48"/>
  <c r="I197" i="48"/>
  <c r="I196" i="48"/>
  <c r="I195" i="48"/>
  <c r="I194" i="48"/>
  <c r="I193" i="48"/>
  <c r="I192" i="48"/>
  <c r="I191" i="48"/>
  <c r="I190" i="48"/>
  <c r="I162" i="48"/>
  <c r="I161" i="48"/>
  <c r="I160" i="48"/>
  <c r="I159" i="48"/>
  <c r="I158" i="48"/>
  <c r="I157" i="48"/>
  <c r="I156" i="48"/>
  <c r="I155" i="48"/>
  <c r="I124" i="48"/>
  <c r="I123" i="48"/>
  <c r="I122" i="48"/>
  <c r="I121" i="48"/>
  <c r="I120" i="48"/>
  <c r="I119" i="48"/>
  <c r="I118" i="48"/>
  <c r="I117" i="48"/>
  <c r="I87" i="48"/>
  <c r="I86" i="48"/>
  <c r="I85" i="48"/>
  <c r="I84" i="48"/>
  <c r="I83" i="48"/>
  <c r="I82" i="48"/>
  <c r="I81" i="48"/>
  <c r="I80" i="48"/>
  <c r="I79" i="48"/>
  <c r="I50" i="48"/>
  <c r="I49" i="48"/>
  <c r="I48" i="48"/>
  <c r="I47" i="48"/>
  <c r="I46" i="48"/>
  <c r="I45" i="48"/>
  <c r="I44" i="48"/>
  <c r="I43" i="48"/>
  <c r="I42" i="48"/>
  <c r="U5" i="52" l="1"/>
  <c r="U376" i="48"/>
  <c r="U377" i="48"/>
  <c r="U378" i="48"/>
  <c r="U379" i="48"/>
  <c r="U380" i="48"/>
  <c r="U381" i="48"/>
  <c r="U375" i="48"/>
  <c r="H373" i="48"/>
  <c r="U341" i="48"/>
  <c r="U342" i="48"/>
  <c r="U343" i="48"/>
  <c r="U344" i="48"/>
  <c r="U345" i="48"/>
  <c r="U346" i="48"/>
  <c r="U340" i="48"/>
  <c r="H338" i="48"/>
  <c r="U303" i="48"/>
  <c r="U304" i="48"/>
  <c r="U305" i="48"/>
  <c r="U306" i="48"/>
  <c r="U307" i="48"/>
  <c r="U308" i="48"/>
  <c r="U309" i="48"/>
  <c r="U302" i="48"/>
  <c r="H300" i="48"/>
  <c r="V310" i="48"/>
  <c r="U228" i="48"/>
  <c r="U229" i="48"/>
  <c r="U230" i="48"/>
  <c r="U231" i="48"/>
  <c r="U232" i="48"/>
  <c r="U233" i="48"/>
  <c r="U234" i="48"/>
  <c r="U227" i="48"/>
  <c r="U191" i="48"/>
  <c r="U192" i="48"/>
  <c r="U193" i="48"/>
  <c r="U194" i="48"/>
  <c r="U195" i="48"/>
  <c r="U196" i="48"/>
  <c r="U197" i="48"/>
  <c r="U198" i="48"/>
  <c r="U199" i="48"/>
  <c r="U200" i="48"/>
  <c r="U201" i="48"/>
  <c r="U190" i="48"/>
  <c r="U156" i="48"/>
  <c r="U157" i="48"/>
  <c r="U158" i="48"/>
  <c r="U159" i="48"/>
  <c r="U160" i="48"/>
  <c r="U161" i="48"/>
  <c r="U162" i="48"/>
  <c r="U155" i="48"/>
  <c r="U118" i="48"/>
  <c r="U119" i="48"/>
  <c r="U120" i="48"/>
  <c r="U121" i="48"/>
  <c r="U122" i="48"/>
  <c r="U123" i="48"/>
  <c r="U124" i="48"/>
  <c r="U117" i="48"/>
  <c r="U80" i="48"/>
  <c r="U81" i="48"/>
  <c r="U82" i="48"/>
  <c r="U83" i="48"/>
  <c r="U84" i="48"/>
  <c r="U85" i="48"/>
  <c r="U86" i="48"/>
  <c r="U87" i="48"/>
  <c r="U79" i="48"/>
  <c r="U43" i="48"/>
  <c r="U44" i="48"/>
  <c r="U45" i="48"/>
  <c r="U46" i="48"/>
  <c r="U47" i="48"/>
  <c r="U48" i="48"/>
  <c r="U49" i="48"/>
  <c r="U50" i="48"/>
  <c r="U42" i="48"/>
  <c r="U266" i="48"/>
  <c r="U267" i="48"/>
  <c r="U268" i="48"/>
  <c r="U269" i="48"/>
  <c r="U270" i="48"/>
  <c r="U271" i="48"/>
  <c r="U272" i="48"/>
  <c r="U273" i="48"/>
  <c r="U265" i="48"/>
  <c r="H263" i="48"/>
  <c r="H225" i="48"/>
  <c r="V235" i="48"/>
  <c r="H188" i="48"/>
  <c r="V202" i="48"/>
  <c r="H153" i="48"/>
  <c r="V163" i="48"/>
  <c r="U154" i="48"/>
  <c r="H77" i="48"/>
  <c r="H115" i="48"/>
  <c r="U153" i="48" l="1"/>
  <c r="H16" i="48" l="1"/>
  <c r="I18" i="48" l="1"/>
  <c r="U18" i="48" s="1"/>
  <c r="I17" i="48"/>
  <c r="I16" i="48"/>
  <c r="I373" i="48"/>
  <c r="I15" i="48" s="1"/>
  <c r="J17" i="48"/>
  <c r="J16" i="48"/>
  <c r="H17" i="48"/>
  <c r="H15" i="48"/>
  <c r="H14" i="48"/>
  <c r="H13" i="48"/>
  <c r="H12" i="48"/>
  <c r="H11" i="48"/>
  <c r="H10" i="48"/>
  <c r="H9" i="48"/>
  <c r="H8" i="48"/>
  <c r="H7" i="48"/>
  <c r="X225" i="48" l="1"/>
  <c r="W225" i="48"/>
  <c r="X188" i="48"/>
  <c r="W188" i="48"/>
  <c r="X153" i="48"/>
  <c r="W153" i="48"/>
  <c r="J373" i="48"/>
  <c r="J15" i="48" s="1"/>
  <c r="U447" i="48"/>
  <c r="U410" i="48"/>
  <c r="U374" i="48"/>
  <c r="U339" i="48"/>
  <c r="J338" i="48"/>
  <c r="J14" i="48" s="1"/>
  <c r="I338" i="48"/>
  <c r="I14" i="48" s="1"/>
  <c r="U301" i="48"/>
  <c r="J300" i="48"/>
  <c r="J13" i="48" s="1"/>
  <c r="I300" i="48"/>
  <c r="I13" i="48" s="1"/>
  <c r="U264" i="48"/>
  <c r="J263" i="48"/>
  <c r="J12" i="48" s="1"/>
  <c r="I263" i="48"/>
  <c r="I12" i="48" s="1"/>
  <c r="U226" i="48"/>
  <c r="J225" i="48"/>
  <c r="J11" i="48" s="1"/>
  <c r="I225" i="48"/>
  <c r="I11" i="48" s="1"/>
  <c r="U189" i="48"/>
  <c r="J188" i="48"/>
  <c r="J10" i="48" s="1"/>
  <c r="I188" i="48"/>
  <c r="I10" i="48" s="1"/>
  <c r="I153" i="48"/>
  <c r="I9" i="48" s="1"/>
  <c r="U116" i="48"/>
  <c r="I115" i="48"/>
  <c r="I8" i="48" s="1"/>
  <c r="U78" i="48"/>
  <c r="I77" i="48"/>
  <c r="I7" i="48" s="1"/>
  <c r="U41" i="48"/>
  <c r="J40" i="48"/>
  <c r="J6" i="48" s="1"/>
  <c r="I40" i="48"/>
  <c r="I6" i="48" s="1"/>
  <c r="H40" i="48"/>
  <c r="U17" i="48"/>
  <c r="U16" i="48"/>
  <c r="H6" i="48" l="1"/>
  <c r="H5" i="48" s="1"/>
  <c r="U15" i="48"/>
  <c r="U13" i="48"/>
  <c r="U12" i="48"/>
  <c r="U11" i="48"/>
  <c r="U10" i="48"/>
  <c r="U14" i="48"/>
  <c r="I5" i="48"/>
  <c r="J77" i="48"/>
  <c r="U115" i="48"/>
  <c r="J115" i="48"/>
  <c r="J8" i="48" s="1"/>
  <c r="U8" i="48" s="1"/>
  <c r="J153" i="48"/>
  <c r="J9" i="48" s="1"/>
  <c r="U9" i="48" s="1"/>
  <c r="U263" i="48"/>
  <c r="U40" i="48"/>
  <c r="U225" i="48"/>
  <c r="U338" i="48"/>
  <c r="U373" i="48"/>
  <c r="U188" i="48"/>
  <c r="U300" i="48"/>
  <c r="U6" i="48" l="1"/>
  <c r="U77" i="48"/>
  <c r="J7" i="48"/>
  <c r="V2" i="48" l="1"/>
  <c r="W2" i="48" s="1"/>
  <c r="J5" i="48"/>
  <c r="U7" i="48"/>
  <c r="U5" i="48" l="1"/>
</calcChain>
</file>

<file path=xl/sharedStrings.xml><?xml version="1.0" encoding="utf-8"?>
<sst xmlns="http://schemas.openxmlformats.org/spreadsheetml/2006/main" count="2625" uniqueCount="187">
  <si>
    <t>หน่วย</t>
  </si>
  <si>
    <t>บช.น.</t>
  </si>
  <si>
    <t>ภ.1</t>
  </si>
  <si>
    <t>ภ.2</t>
  </si>
  <si>
    <t>ภ.3</t>
  </si>
  <si>
    <t>ภ.4</t>
  </si>
  <si>
    <t>ภ.5</t>
  </si>
  <si>
    <t>ภ.6</t>
  </si>
  <si>
    <t>ภ.7</t>
  </si>
  <si>
    <t>ภ.8</t>
  </si>
  <si>
    <t>ภ.9</t>
  </si>
  <si>
    <t>รพ.ตร.</t>
  </si>
  <si>
    <t>รวมทั้งสิ้น</t>
  </si>
  <si>
    <t>วัสดุ</t>
  </si>
  <si>
    <t>ค่าอาหาร</t>
  </si>
  <si>
    <t>รวมทุก บช.</t>
  </si>
  <si>
    <t>รวม บช.น.</t>
  </si>
  <si>
    <t>รวม ภ.1</t>
  </si>
  <si>
    <t>รวม ภ.2</t>
  </si>
  <si>
    <t>รวม ภ.3</t>
  </si>
  <si>
    <t>รวม ภ.4</t>
  </si>
  <si>
    <t>รวม ภ.5</t>
  </si>
  <si>
    <t>รวม ภ.6</t>
  </si>
  <si>
    <t>รวม ภ.7</t>
  </si>
  <si>
    <t>รวม ภ.8</t>
  </si>
  <si>
    <t>รวม ภ.9</t>
  </si>
  <si>
    <t>โฆษณา</t>
  </si>
  <si>
    <t>/เผยแพร่</t>
  </si>
  <si>
    <t>อาหาร</t>
  </si>
  <si>
    <t>สำเร็จรูป</t>
  </si>
  <si>
    <t>เบี้ยเลี้ยง/ที่พัก</t>
  </si>
  <si>
    <t>ค่าน้ำมัน</t>
  </si>
  <si>
    <t>เชื้อเพลิง</t>
  </si>
  <si>
    <t>ค่าวัสดุ</t>
  </si>
  <si>
    <t>สำนักงาน</t>
  </si>
  <si>
    <t>รวมตอบแทน</t>
  </si>
  <si>
    <t>ใช้สอย/วัสดุ</t>
  </si>
  <si>
    <t>ปัดเศษหลักร้อย</t>
  </si>
  <si>
    <t>ตอบแทนฯ</t>
  </si>
  <si>
    <t>ค่าสาธารณู</t>
  </si>
  <si>
    <t>ปโภค</t>
  </si>
  <si>
    <t>รวมงบ</t>
  </si>
  <si>
    <t>ดำเนินงาน</t>
  </si>
  <si>
    <t>ค่าเช่า</t>
  </si>
  <si>
    <t>รถยนต์</t>
  </si>
  <si>
    <t>บ้าน</t>
  </si>
  <si>
    <t>เบี้ย</t>
  </si>
  <si>
    <t>ประกัน</t>
  </si>
  <si>
    <t>ประชุม</t>
  </si>
  <si>
    <t>น.1</t>
  </si>
  <si>
    <t>น.2</t>
  </si>
  <si>
    <t>น.3</t>
  </si>
  <si>
    <t>น.4</t>
  </si>
  <si>
    <t>น.5</t>
  </si>
  <si>
    <t>น.6</t>
  </si>
  <si>
    <t>น.7</t>
  </si>
  <si>
    <t>น.8</t>
  </si>
  <si>
    <t>น.9</t>
  </si>
  <si>
    <t>ภ.จว.ชัยนาท</t>
  </si>
  <si>
    <t>ภ.จว.นนทบุรี</t>
  </si>
  <si>
    <t>ภ.จว.ปทุมธานี</t>
  </si>
  <si>
    <t>ภ.จว.พระนครศรีอยุธยา</t>
  </si>
  <si>
    <t>ภ.จว.ลพบุรี</t>
  </si>
  <si>
    <t>ภ.จว.สมุทรปราการ</t>
  </si>
  <si>
    <t>ภ.จว.สระบุรี</t>
  </si>
  <si>
    <t>ภ.จว.สิงห์บุรี</t>
  </si>
  <si>
    <t>ภ.จว.จันทบุรี</t>
  </si>
  <si>
    <t>ภ.จว.ฉะเชิงเทรา</t>
  </si>
  <si>
    <t>ภ.จว.ชลบุรี</t>
  </si>
  <si>
    <t>ภ.จว.ตราด</t>
  </si>
  <si>
    <t>ภ.จว.นครนายก</t>
  </si>
  <si>
    <t>ภ.จว.ปราจีนบุรี</t>
  </si>
  <si>
    <t>ภ.จว.ระยอง</t>
  </si>
  <si>
    <t>ภ.จว.สระแก้ว</t>
  </si>
  <si>
    <t>ภ.จว.ชัยภูมิ</t>
  </si>
  <si>
    <t>ภ.จว.นครราชสีมา</t>
  </si>
  <si>
    <t>ภ.จว.บุรีรัมย์</t>
  </si>
  <si>
    <t>ภ.จว.ยโสธร</t>
  </si>
  <si>
    <t>ภ.จว.ศรีสะเกษ</t>
  </si>
  <si>
    <t>ภ.จว.สุรินทร์</t>
  </si>
  <si>
    <t>ภ.จว.อุบลราชธานี</t>
  </si>
  <si>
    <t>ภ.จว.อำนาจเจริญ</t>
  </si>
  <si>
    <t>ภ.จว.กาฬสินธุ์</t>
  </si>
  <si>
    <t>ภ.จว.ขอนแก่น</t>
  </si>
  <si>
    <t>ภ.จว.นครพนม</t>
  </si>
  <si>
    <t>ภ.จว.บึงกาฬ</t>
  </si>
  <si>
    <t>ภ.จว.มหาสารคาม</t>
  </si>
  <si>
    <t>ภ.จว.มุกดาหาร</t>
  </si>
  <si>
    <t>ภ.จว.ร้อยเอ็ด</t>
  </si>
  <si>
    <t>ภ.จว.เลย</t>
  </si>
  <si>
    <t>ภ.จว.สกลนคร</t>
  </si>
  <si>
    <t>ภ.จว.หนองคาย</t>
  </si>
  <si>
    <t>ภ.จว.หนองบัวลำภู</t>
  </si>
  <si>
    <t>ภ.จว.อุดรธานี</t>
  </si>
  <si>
    <t>ภ.จว.เชียงราย</t>
  </si>
  <si>
    <t>ภ.จว.เชียงใหม่</t>
  </si>
  <si>
    <t>ภ.จว.น่าน</t>
  </si>
  <si>
    <t>ภ.จว.แพร่</t>
  </si>
  <si>
    <t>ภ.จว.พะเยา</t>
  </si>
  <si>
    <t>ภ.จว.แม่ฮ่องสอน</t>
  </si>
  <si>
    <t>ภ.จว.ลำปาง</t>
  </si>
  <si>
    <t>ภ.จว.ลำพูน</t>
  </si>
  <si>
    <t>ภ.จว.กำแพงเพชร</t>
  </si>
  <si>
    <t>ภ.จว.ตาก</t>
  </si>
  <si>
    <t>ภ.จว.นครสวรรค์</t>
  </si>
  <si>
    <t>ภ.จว.พิจิตร</t>
  </si>
  <si>
    <t>ภ.จว.พิษณุโลก</t>
  </si>
  <si>
    <t>ภ.จว.เพชรบูรณ์</t>
  </si>
  <si>
    <t>ภ.จว.สุโขทัย</t>
  </si>
  <si>
    <t>ภ.จว.อุตรดิตถ์</t>
  </si>
  <si>
    <t>ภ.จว.อุทัยธานี</t>
  </si>
  <si>
    <t>ภ.จว.กาญจนบุรี</t>
  </si>
  <si>
    <t>ภ.จว.นครปฐม</t>
  </si>
  <si>
    <t>ภ.จว.เพชรบุรี</t>
  </si>
  <si>
    <t>ภ.จว.ราชบุรี</t>
  </si>
  <si>
    <t>ภ.จว.สมุทรสงคราม</t>
  </si>
  <si>
    <t>ภ.จว.สมุทรสาคร</t>
  </si>
  <si>
    <t>ภ.จว.สุพรรณบุรี</t>
  </si>
  <si>
    <t>ภ.จว.กระบี่</t>
  </si>
  <si>
    <t>ภ.จว.ชุมพร</t>
  </si>
  <si>
    <t>ภ.จว.นครศรีธรรมราช</t>
  </si>
  <si>
    <t>ภ.จว.พังงา</t>
  </si>
  <si>
    <t>ภ.จว.ภูเก็ต</t>
  </si>
  <si>
    <t>ภ.จว.ระนอง</t>
  </si>
  <si>
    <t>ภ.จว.สุราษฎร์ธานี</t>
  </si>
  <si>
    <t>ภ.จว.ตรัง</t>
  </si>
  <si>
    <t>ภ.จว.พัทลุง</t>
  </si>
  <si>
    <t>ภ.จว.สตูล</t>
  </si>
  <si>
    <t>ภ.จว.นราธิวาส</t>
  </si>
  <si>
    <t>ภ.จว.ปัตตานี</t>
  </si>
  <si>
    <t>ภ.จว.ยะลา</t>
  </si>
  <si>
    <t>ภ.จว.อ่างทอง</t>
  </si>
  <si>
    <t>บช.ก. (รฟ.)</t>
  </si>
  <si>
    <t>แบบพิมพ์</t>
  </si>
  <si>
    <t>คอมพิวเตอร์</t>
  </si>
  <si>
    <t>ค่าใช้จ่าย</t>
  </si>
  <si>
    <t>สัมมนา/ฝึกอบรม</t>
  </si>
  <si>
    <t>ทำการนอกเวลา</t>
  </si>
  <si>
    <t>ค่าตอบแทน</t>
  </si>
  <si>
    <t>อาสาสมัครฯ</t>
  </si>
  <si>
    <t>ภ.จว.สงขลา</t>
  </si>
  <si>
    <t>ภ.จว.ประจวบคีรีขันธ์</t>
  </si>
  <si>
    <t>หลักเกณฑ์การคำนวณและการเบิกจ่าย</t>
  </si>
  <si>
    <t>สยศ.ตร. (ผอ.)</t>
  </si>
  <si>
    <t>สยศ.ตร.(ผอ.)</t>
  </si>
  <si>
    <t>งบบริหาร 3%</t>
  </si>
  <si>
    <t>และพาหนะ</t>
  </si>
  <si>
    <t>ภ.4 (บช.)</t>
  </si>
  <si>
    <t>ภ.5 (บช.)</t>
  </si>
  <si>
    <t>ภ.6 (บช.)</t>
  </si>
  <si>
    <t>ภ.7 (บช.)</t>
  </si>
  <si>
    <t>หลักเกณฑ์การเบิกจ่าย</t>
  </si>
  <si>
    <t xml:space="preserve">1. ค่าอาหารทำการนอกเวลา/ค่าเบี้ยเลี้ยงและค่าพาหนะของชุดปฏิบัติการชุมชนสัมพันธ์ สถานีตำรวจระดับ ผกก. เป็นหัวหน้าสถานี ชุดละ 56,000 บาท/ปี (ชุดปฏิบัติการ 5 นาย เข้าหมู่บ้าน/ชุมชนเป้าหมาย ไม่น้อยกว่า 44  วัน/ปี  ปฏิบัติงาน 4 วัน/เดือน จำนวน 10 เดือน </t>
  </si>
  <si>
    <t xml:space="preserve">2. ค่าอาหารทำการนอกเวลา/ค่าเบี้ยเลี้ยงและค่าพาหนะของชุดปฏิบัติการชุมชนสัมพันธ์ สถานีตำรวจระดับ สวญ. เป็นหัวหน้าสถานี ชุดละ 44,800 บาท/ปี (ชุดปฏิบัติการ 4 นาย เข้าหมู่บ้าน/ชุมชนเป้าหมาย ไม่น้อยกว่า 44  วัน/ปี ปฏิบัติงาน 4 วัน/เดือน จำนวน 10 เดือน </t>
  </si>
  <si>
    <t xml:space="preserve">3. ค่าอาหารทำการนอกเวลา/ค่าเบี้ยเลี้ยงและค่าพาหนะของชุดปฏิบัติการชุมชนสัมพันธ์ สถานีตำรวจระดับ สว. เป็นหัวหน้าสถานี ชุดละ 33,600 บาท/ปี (ชุดปฏิบัติการ 3 นาย เข้าหมู่บ้าน/ชุมชนเป้าหมาย ปฏิบัติงานไม่น้อยกว่า 44  วัน/ปี  ปฏิบัติงาน 4 วัน/เดือน จำนวน 10 เดือน </t>
  </si>
  <si>
    <t xml:space="preserve">     และไตรมาส 1 - 2 เพิ่มช่วงเทศกาลปีใหม่ 2 วัน,  ไตรมาส 3 - 4 เพิ่มช่วงเทศกาลสงกรานต์ 2 วัน (ค่าอาหารทำการนอกเวลา/ค่าเบี้ยเลี้ยงชุดปฏิบัติการชุมชนสัมพันธ์ 5 นาย*200 บาท*44 วัน ปฏิบัติงานไม่น้อยกว่า 44 วัน/ปี ส่วนที่เหลือถัวเป็นค่าพาหนะสำหรับเข้าปฏิบัติงาน)</t>
  </si>
  <si>
    <t xml:space="preserve">     และไตรมาส 1 - 2 เพิ่มช่วงเทศกาลปีใหม่ 2 วัน,  ไตรมาส 3 - 4 เพิ่มช่วงเทศกาลสงกรานต์ 2 วัน (ค่าอาหารทำการนอกเวลา/ค่าเบี้ยเลี้ยงชุดปฏิบัติการชุมชนสัมพันธ์ 4 นาย*200 บาท*44 วัน ปฏิบัติงานไม่น้อยกว่า 44 วัน/ปี ส่วนที่เหลือถัวเป็นค่าพาหนะสำหรับเข้าปฏิบัติงาน)</t>
  </si>
  <si>
    <t xml:space="preserve">     และไตรมาส 1 - 2 เพิ่มช่วงเทศกาลปีใหม่ 2 วัน,  ไตรมาส 3 - 4 เพิ่มช่วงเทศกาลสงกรานต์ 2 วัน (ค่าอาหารทำการนอกเวลา/ค่าเบี้ยเลี้ยงชุดปฏิบัติการชุมชนสัมพันธ์ 3 นาย*200 บาท*44 วัน ปฏิบัติงานไม่น้อยกว่า 44 วัน/ปี ส่วนที่เหลือถัวเป็นค่าพาหนะสำหรับเข้าปฏิบัติงาน)</t>
  </si>
  <si>
    <t xml:space="preserve"> ค่าอาหารทำการนอกเวลา/ค่าเบี้ยเลี้ยงและค่าพาหนะของชุดปฏิบัติการชุมชนสัมพันธ์ สถานีตำรวจระดับ สวญ. เป็นหัวหน้าสถานี ชุดละ 44,800 บาท/ปี (ชุดปฏิบัติการ 4 นาย เข้าหมู่บ้าน/ชุมชนเป้าหมาย ไม่น้อยกว่า 44  วัน/ปี ปฏิบัติงาน 4 วัน/เดือน จำนวน 10 เดือน </t>
  </si>
  <si>
    <t>6. ค่าตอบแทนอาสาสมัครตำรวจบ้าน สถานีละ 48,000 บาท/ปี  สถานีละ 10 คน*100 บาทต่อวัน*48 วัน ปฏิบัติงาน 4 วันต่อเดือน จำนวน 10  เดือน  เพิ่มช่วงเทศกาลปีใหม่ 4 วัน เทศกาลสงกรานต์ 4 วัน รวม 48 วัน</t>
  </si>
  <si>
    <t>เครื่องแต่งกาย</t>
  </si>
  <si>
    <t xml:space="preserve">งบบริหาร </t>
  </si>
  <si>
    <t>โครงการ</t>
  </si>
  <si>
    <t xml:space="preserve">งบดำเนินงาน งานชุมชนและมวลชนสัมพันธ์ ปีงบประมาณ 2564 วงเงิน 123,656,200 บาท ตร.กันไว้ 4% (4,946,300 บาท) คงเหลือ 118,709,900 บาท </t>
  </si>
  <si>
    <t>4. ค่าเบี้ยเลี้ยงที่พักและพาหนะสำหรับ บช. เพื่อตรวจติดตามผลการปฏิบัติงาน ชมส.  และงานการมีส่วนร่วมของประชาชน บช. ละ 60,000 บาท/ปี</t>
  </si>
  <si>
    <t>5. ค่าเบี้ยเลี้ยง ที่พักและพาหนะ สำหรับ บก./ภ.จว. เพื่อออกตรวจติดตามผลการปฏิบัติงานของชุด ชมส.  และงานการมีส่วนร่วมของประชาชน บก./ภ.จว. ละ 20,000 บาท/ปี</t>
  </si>
  <si>
    <t xml:space="preserve">  (ทั้งนี้จัดสรรให้สถานีตำรวจที่มีสถิติคดีเกี่ยวกับทรัพย์สูง จำนวน 484 สถานี) ได้แก่ บช.น.  จำนวน 80 สน., ภ.1 จำนวน 65  สภ., ภ.2 จำนวน 51 สภ., ภ.3 จำนวน 31 สภ., </t>
  </si>
  <si>
    <t xml:space="preserve">   ภ.4 จำนวน 45 สภ., ภ.5 จำนวน 37 สภ., ภ.6 จำนวน 31 สภ., ภ.7 จำนวน 48 สภ., ภ.8 จำนวน 45 สภ. และ ภ.9 จำนวน 51 สภ. </t>
  </si>
  <si>
    <t>สยศ.ตร.</t>
  </si>
  <si>
    <t>รวม สยศ.ตร.</t>
  </si>
  <si>
    <t>ผอ.</t>
  </si>
  <si>
    <t>งบประมาณสำหรับดำเนินกิจกรรมการออกหน่วยแพทย์เคลื่อนที่และชุมชนสงเคราะห์ประจำปีงบประมาณ พ.ศ.2564</t>
  </si>
  <si>
    <t>งบประมาณสำหรับการดำเนินงานชุมชนและมวลชนสัมพันธ์ในภาพรวม ประจำปีงบประมาณ พ.ศ.2564</t>
  </si>
  <si>
    <t>ประเมิน ชมส.</t>
  </si>
  <si>
    <t xml:space="preserve">1. ค่าอาหารทำการนอกเวลา/ค่าเบี้ยเลี้ยงและค่าพาหนะของชุดปฏิบัติการชุมชนสัมพันธ์ สถานีตำรวจระดับ ผกก. เป็นหัวหน้าสถานี ชุดละ 28,000 บาท/ปี (ชุดปฏิบัติการ 5 นาย เข้าหมู่บ้าน/ชุมชนเป้าหมาย ไม่น้อยกว่า 22  วัน/ปี  ปฏิบัติงาน 4 วัน/เดือน จำนวน 5 เดือน </t>
  </si>
  <si>
    <t xml:space="preserve">2. ค่าอาหารทำการนอกเวลา/ค่าเบี้ยเลี้ยงและค่าพาหนะของชุดปฏิบัติการชุมชนสัมพันธ์ สถานีตำรวจระดับ สวญ. เป็นหัวหน้าสถานี ชุดละ 22,400 บาท/ปี (ชุดปฏิบัติการ 4 นาย เข้าหมู่บ้าน/ชุมชนเป้าหมาย ไม่น้อยกว่า 22  วัน/ปี ปฏิบัติงาน 4 วัน/เดือน จำนวน 5 เดือน </t>
  </si>
  <si>
    <t>4. ค่าเบี้ยเลี้ยงที่พักและพาหนะสำหรับ บช. เพื่อตรวจติดตามผลการปฏิบัติงาน ชมส.  และงานการมีส่วนร่วมของประชาชน ไตรมาส 1-2 บช. ละ 30,000 บาท</t>
  </si>
  <si>
    <t xml:space="preserve">     และไตรมาส 1 - 2 เพิ่มช่วงเทศกาลปีใหม่ 2 วัน (ค่าอาหารทำการนอกเวลา/ค่าเบี้ยเลี้ยงชุดปฏิบัติการชุมชนสัมพันธ์ 5 นาย*200 บาท*22 วัน ปฏิบัติงานไม่น้อยกว่า 22 วัน/ปี ส่วนที่เหลือถัวเป็นค่าพาหนะสำหรับเข้าปฏิบัติงาน)</t>
  </si>
  <si>
    <t xml:space="preserve">     และไตรมาส 1 - 2 เพิ่มช่วงเทศกาลปีใหม่ 2 วัน (ค่าอาหารทำการนอกเวลา/ค่าเบี้ยเลี้ยงชุดปฏิบัติการชุมชนสัมพันธ์ 4 นาย*200 บาท*22 วัน ปฏิบัติงานไม่น้อยกว่า 22 วัน/ปี ส่วนที่เหลือถัวเป็นค่าพาหนะสำหรับเข้าปฏิบัติงาน)</t>
  </si>
  <si>
    <t xml:space="preserve">     และไตรมาส 1 - 2 เพิ่มช่วงเทศกาลปีใหม่ 2 วัน (ค่าอาหารทำการนอกเวลา/ค่าเบี้ยเลี้ยงชุดปฏิบัติการชุมชนสัมพันธ์ 3 นาย*200 บาท*22 วัน ปฏิบัติงานไม่น้อยกว่า 22 วัน/ปี ส่วนที่เหลือถัวเป็นค่าพาหนะสำหรับเข้าปฏิบัติงาน)</t>
  </si>
  <si>
    <t xml:space="preserve">3. ค่าอาหารทำการนอกเวลา/ค่าเบี้ยเลี้ยงและค่าพาหนะของชุดปฏิบัติการชุมชนสัมพันธ์ สถานีตำรวจระดับ สว. เป็นหัวหน้าสถานี ชุดละ 16,800 บาท/ปี (ชุดปฏิบัติการ 3 นาย เข้าหมู่บ้าน/ชุมชนเป้าหมาย ไม่น้อยกว่า 22  วัน/ปี  ปฏิบัติงาน 4 วัน/เดือน จำนวน 5 เดือน </t>
  </si>
  <si>
    <t>6. ค่าตอบแทนอาสาสมัครตำรวจบ้าน ไตรมาส 1-2  สถานีละ 24,000 บาท สถานีละ 10 คน*100 บาทต่อวัน*24 วัน ปฏิบัติงาน 4 วันต่อเดือน จำนวน 5  เดือน  เพิ่มช่วงเทศกาลปีใหม่ 4 วัน  รวม 24 วัน</t>
  </si>
  <si>
    <t>5. ค่าเบี้ยเลี้ยง ที่พักและพาหนะ สำหรับ บก./ภ.จว. เพื่อออกตรวจติดตามผลการปฏิบัติงานของชุด ชมส.  และงานการมีส่วนร่วมของประชาชน ไตรมาส 1-2 บก./ภ.จว. ละ 10,000 บาท</t>
  </si>
  <si>
    <t xml:space="preserve"> ค่าอาหารทำการนอกเวลา/ค่าเบี้ยเลี้ยงและค่าพาหนะของชุดปฏิบัติการชุมชนสัมพันธ์ สถานีตำรวจระดับ สวญ. เป็นหัวหน้าสถานี ชุดละ 22,400 บาท/ปี (ชุดปฏิบัติการ 4 นาย เข้าหมู่บ้าน/ชุมชนเป้าหมาย ไม่น้อยกว่า 22  วัน/ปี ปฏิบัติงาน 4 วัน/เดือน จำนวน 5 เดือน </t>
  </si>
  <si>
    <t>ณ 18 ก.ย.63</t>
  </si>
  <si>
    <t xml:space="preserve">งบดำเนินงาน งานชุมชนและมวลชนสัมพันธ์ ปีงบประมาณ 2564 งวดที่ 1 ไตรมาส 1-2 วงเงิน 59,956,070 บาท  </t>
  </si>
  <si>
    <t xml:space="preserve">งบดำเนินงาน งานชุมชนและมวลชนสัมพันธ์ ปีงบประมาณ 2564 งวดที่ 2 ไตรมาส 3-4 วงเงิน 58,753,830 บาท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</si>
</sst>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6" x14ac:knownFonts="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sz val="7"/>
      <name val="Arial"/>
      <family val="2"/>
    </font>
    <font>
      <sz val="6"/>
      <name val="Arial"/>
      <family val="2"/>
    </font>
    <font>
      <sz val="7"/>
      <color rgb="FFFFC000"/>
      <name val="Arial"/>
      <family val="2"/>
    </font>
    <font>
      <sz val="7"/>
      <color rgb="FF00B050"/>
      <name val="Arial"/>
      <family val="2"/>
    </font>
    <font>
      <sz val="7"/>
      <color rgb="FF009900"/>
      <name val="Arial"/>
      <family val="2"/>
    </font>
    <font>
      <sz val="7"/>
      <color theme="9" tint="-0.249977111117893"/>
      <name val="Arial"/>
      <family val="2"/>
    </font>
    <font>
      <b/>
      <sz val="7"/>
      <name val="Arial"/>
      <family val="2"/>
    </font>
    <font>
      <b/>
      <sz val="7"/>
      <color rgb="FF00B050"/>
      <name val="Arial"/>
      <family val="2"/>
    </font>
    <font>
      <sz val="5"/>
      <name val="Arial"/>
      <family val="2"/>
    </font>
    <font>
      <b/>
      <sz val="7"/>
      <color rgb="FF009900"/>
      <name val="Arial"/>
      <family val="2"/>
    </font>
    <font>
      <b/>
      <sz val="6"/>
      <name val="Arial"/>
      <family val="2"/>
    </font>
    <font>
      <sz val="16"/>
      <name val="TH SarabunPSK"/>
      <family val="2"/>
    </font>
    <font>
      <sz val="14"/>
      <name val="TH SarabunPSK"/>
      <family val="2"/>
    </font>
    <font>
      <sz val="7"/>
      <color rgb="FFFF0000"/>
      <name val="Arial"/>
      <family val="2"/>
    </font>
    <font>
      <sz val="9"/>
      <name val="TH SarabunPSK"/>
      <family val="2"/>
    </font>
    <font>
      <b/>
      <sz val="7"/>
      <color rgb="FFFF0000"/>
      <name val="Arial"/>
      <family val="2"/>
    </font>
    <font>
      <sz val="10.5"/>
      <name val="TH SarabunPSK"/>
      <family val="2"/>
    </font>
    <font>
      <sz val="10.5"/>
      <color rgb="FFFF0000"/>
      <name val="TH SarabunPSK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b/>
      <sz val="7"/>
      <color theme="0"/>
      <name val="Arial"/>
      <family val="2"/>
    </font>
    <font>
      <sz val="10"/>
      <name val="TH SarabunPSK"/>
      <family val="2"/>
    </font>
    <font>
      <sz val="13.5"/>
      <color theme="0"/>
      <name val="Arial"/>
      <family val="2"/>
    </font>
    <font>
      <b/>
      <sz val="6"/>
      <color rgb="FF009900"/>
      <name val="Arial"/>
      <family val="2"/>
    </font>
    <font>
      <sz val="11"/>
      <name val="TH SarabunPSK"/>
      <family val="2"/>
    </font>
    <font>
      <b/>
      <sz val="7"/>
      <color theme="3" tint="0.39997558519241921"/>
      <name val="Arial"/>
      <family val="2"/>
    </font>
    <font>
      <sz val="7"/>
      <color theme="3" tint="0.39997558519241921"/>
      <name val="Arial"/>
      <family val="2"/>
    </font>
    <font>
      <sz val="7"/>
      <color theme="1"/>
      <name val="Arial"/>
      <family val="2"/>
    </font>
    <font>
      <b/>
      <sz val="7"/>
      <color rgb="FF0070C0"/>
      <name val="Arial"/>
      <family val="2"/>
    </font>
    <font>
      <b/>
      <i/>
      <sz val="13"/>
      <name val="TH SarabunPSK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4" fillId="0" borderId="0"/>
  </cellStyleXfs>
  <cellXfs count="97">
    <xf numFmtId="0" fontId="0" fillId="0" borderId="0" xfId="0"/>
    <xf numFmtId="0" fontId="5" fillId="0" borderId="0" xfId="0" applyFont="1"/>
    <xf numFmtId="0" fontId="2" fillId="0" borderId="3" xfId="0" applyFont="1" applyBorder="1"/>
    <xf numFmtId="0" fontId="2" fillId="0" borderId="4" xfId="0" applyFont="1" applyBorder="1"/>
    <xf numFmtId="3" fontId="5" fillId="0" borderId="4" xfId="0" applyNumberFormat="1" applyFont="1" applyBorder="1"/>
    <xf numFmtId="3" fontId="0" fillId="0" borderId="0" xfId="0" applyNumberFormat="1"/>
    <xf numFmtId="0" fontId="3" fillId="0" borderId="0" xfId="0" applyFont="1"/>
    <xf numFmtId="3" fontId="6" fillId="0" borderId="0" xfId="0" applyNumberFormat="1" applyFont="1"/>
    <xf numFmtId="3" fontId="8" fillId="0" borderId="4" xfId="0" applyNumberFormat="1" applyFont="1" applyBorder="1"/>
    <xf numFmtId="3" fontId="9" fillId="0" borderId="4" xfId="0" applyNumberFormat="1" applyFont="1" applyBorder="1"/>
    <xf numFmtId="3" fontId="5" fillId="0" borderId="0" xfId="0" applyNumberFormat="1" applyFont="1"/>
    <xf numFmtId="3" fontId="10" fillId="0" borderId="0" xfId="0" applyNumberFormat="1" applyFont="1"/>
    <xf numFmtId="3" fontId="7" fillId="0" borderId="0" xfId="0" applyNumberFormat="1" applyFont="1"/>
    <xf numFmtId="3" fontId="2" fillId="0" borderId="0" xfId="0" applyNumberFormat="1" applyFont="1"/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3" fontId="5" fillId="0" borderId="3" xfId="0" applyNumberFormat="1" applyFont="1" applyBorder="1"/>
    <xf numFmtId="0" fontId="2" fillId="0" borderId="5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3" fontId="9" fillId="0" borderId="3" xfId="0" applyNumberFormat="1" applyFont="1" applyBorder="1"/>
    <xf numFmtId="3" fontId="8" fillId="0" borderId="3" xfId="0" applyNumberFormat="1" applyFont="1" applyBorder="1"/>
    <xf numFmtId="3" fontId="5" fillId="0" borderId="5" xfId="0" applyNumberFormat="1" applyFont="1" applyBorder="1"/>
    <xf numFmtId="3" fontId="5" fillId="0" borderId="6" xfId="0" applyNumberFormat="1" applyFont="1" applyBorder="1"/>
    <xf numFmtId="3" fontId="14" fillId="0" borderId="6" xfId="0" applyNumberFormat="1" applyFont="1" applyBorder="1"/>
    <xf numFmtId="3" fontId="12" fillId="0" borderId="6" xfId="0" applyNumberFormat="1" applyFont="1" applyBorder="1"/>
    <xf numFmtId="3" fontId="12" fillId="0" borderId="3" xfId="0" applyNumberFormat="1" applyFont="1" applyBorder="1"/>
    <xf numFmtId="3" fontId="8" fillId="0" borderId="6" xfId="0" applyNumberFormat="1" applyFont="1" applyBorder="1"/>
    <xf numFmtId="3" fontId="12" fillId="0" borderId="0" xfId="0" applyNumberFormat="1" applyFont="1" applyBorder="1"/>
    <xf numFmtId="3" fontId="12" fillId="0" borderId="6" xfId="0" applyNumberFormat="1" applyFont="1" applyFill="1" applyBorder="1"/>
    <xf numFmtId="0" fontId="16" fillId="0" borderId="0" xfId="0" applyFont="1"/>
    <xf numFmtId="0" fontId="17" fillId="0" borderId="0" xfId="0" applyFont="1"/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3" fontId="18" fillId="0" borderId="3" xfId="0" applyNumberFormat="1" applyFont="1" applyBorder="1"/>
    <xf numFmtId="3" fontId="18" fillId="0" borderId="4" xfId="0" applyNumberFormat="1" applyFont="1" applyBorder="1"/>
    <xf numFmtId="3" fontId="5" fillId="0" borderId="3" xfId="0" applyNumberFormat="1" applyFont="1" applyFill="1" applyBorder="1"/>
    <xf numFmtId="3" fontId="11" fillId="0" borderId="3" xfId="0" applyNumberFormat="1" applyFont="1" applyBorder="1"/>
    <xf numFmtId="3" fontId="11" fillId="0" borderId="4" xfId="0" applyNumberFormat="1" applyFont="1" applyBorder="1"/>
    <xf numFmtId="3" fontId="5" fillId="0" borderId="4" xfId="0" applyNumberFormat="1" applyFont="1" applyFill="1" applyBorder="1"/>
    <xf numFmtId="9" fontId="5" fillId="0" borderId="2" xfId="0" applyNumberFormat="1" applyFont="1" applyBorder="1" applyAlignment="1">
      <alignment horizontal="center"/>
    </xf>
    <xf numFmtId="3" fontId="19" fillId="0" borderId="0" xfId="0" applyNumberFormat="1" applyFont="1"/>
    <xf numFmtId="3" fontId="17" fillId="0" borderId="0" xfId="0" applyNumberFormat="1" applyFont="1"/>
    <xf numFmtId="3" fontId="5" fillId="0" borderId="0" xfId="0" applyNumberFormat="1" applyFont="1" applyBorder="1"/>
    <xf numFmtId="3" fontId="8" fillId="0" borderId="0" xfId="0" applyNumberFormat="1" applyFont="1" applyBorder="1"/>
    <xf numFmtId="3" fontId="11" fillId="0" borderId="6" xfId="0" applyNumberFormat="1" applyFont="1" applyBorder="1"/>
    <xf numFmtId="3" fontId="11" fillId="0" borderId="7" xfId="0" applyNumberFormat="1" applyFont="1" applyBorder="1"/>
    <xf numFmtId="3" fontId="11" fillId="0" borderId="6" xfId="0" applyNumberFormat="1" applyFont="1" applyFill="1" applyBorder="1"/>
    <xf numFmtId="0" fontId="21" fillId="0" borderId="0" xfId="0" applyFont="1"/>
    <xf numFmtId="0" fontId="22" fillId="0" borderId="0" xfId="0" applyFont="1"/>
    <xf numFmtId="0" fontId="24" fillId="0" borderId="0" xfId="0" applyFont="1" applyBorder="1" applyAlignment="1">
      <alignment horizontal="center"/>
    </xf>
    <xf numFmtId="0" fontId="23" fillId="0" borderId="0" xfId="0" applyFont="1" applyBorder="1"/>
    <xf numFmtId="3" fontId="25" fillId="0" borderId="0" xfId="0" applyNumberFormat="1" applyFont="1" applyBorder="1"/>
    <xf numFmtId="3" fontId="24" fillId="0" borderId="0" xfId="0" applyNumberFormat="1" applyFont="1" applyBorder="1"/>
    <xf numFmtId="3" fontId="23" fillId="0" borderId="0" xfId="0" applyNumberFormat="1" applyFont="1" applyBorder="1"/>
    <xf numFmtId="3" fontId="25" fillId="0" borderId="0" xfId="0" applyNumberFormat="1" applyFont="1" applyFill="1" applyBorder="1"/>
    <xf numFmtId="3" fontId="24" fillId="0" borderId="0" xfId="0" applyNumberFormat="1" applyFont="1" applyFill="1" applyBorder="1"/>
    <xf numFmtId="0" fontId="26" fillId="0" borderId="0" xfId="0" applyFont="1"/>
    <xf numFmtId="3" fontId="6" fillId="0" borderId="4" xfId="0" applyNumberFormat="1" applyFont="1" applyBorder="1"/>
    <xf numFmtId="0" fontId="2" fillId="0" borderId="4" xfId="0" applyFont="1" applyFill="1" applyBorder="1"/>
    <xf numFmtId="3" fontId="18" fillId="0" borderId="4" xfId="0" applyNumberFormat="1" applyFont="1" applyFill="1" applyBorder="1"/>
    <xf numFmtId="0" fontId="0" fillId="0" borderId="0" xfId="0" applyFill="1"/>
    <xf numFmtId="0" fontId="9" fillId="0" borderId="6" xfId="0" applyFont="1" applyBorder="1" applyAlignment="1">
      <alignment horizontal="center"/>
    </xf>
    <xf numFmtId="0" fontId="23" fillId="0" borderId="0" xfId="0" applyFont="1"/>
    <xf numFmtId="3" fontId="23" fillId="0" borderId="0" xfId="0" applyNumberFormat="1" applyFont="1"/>
    <xf numFmtId="3" fontId="24" fillId="0" borderId="0" xfId="0" applyNumberFormat="1" applyFont="1"/>
    <xf numFmtId="0" fontId="27" fillId="0" borderId="0" xfId="0" applyFont="1"/>
    <xf numFmtId="0" fontId="23" fillId="0" borderId="0" xfId="0" applyFont="1" applyFill="1"/>
    <xf numFmtId="3" fontId="29" fillId="0" borderId="0" xfId="0" applyNumberFormat="1" applyFont="1"/>
    <xf numFmtId="3" fontId="30" fillId="0" borderId="6" xfId="0" applyNumberFormat="1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3" fontId="20" fillId="0" borderId="3" xfId="0" applyNumberFormat="1" applyFont="1" applyBorder="1"/>
    <xf numFmtId="3" fontId="28" fillId="0" borderId="0" xfId="0" applyNumberFormat="1" applyFont="1" applyBorder="1"/>
    <xf numFmtId="3" fontId="15" fillId="0" borderId="0" xfId="0" applyNumberFormat="1" applyFont="1" applyBorder="1"/>
    <xf numFmtId="3" fontId="32" fillId="0" borderId="4" xfId="0" applyNumberFormat="1" applyFont="1" applyBorder="1"/>
    <xf numFmtId="3" fontId="33" fillId="0" borderId="6" xfId="0" applyNumberFormat="1" applyFont="1" applyBorder="1" applyAlignment="1">
      <alignment horizontal="center"/>
    </xf>
    <xf numFmtId="3" fontId="14" fillId="0" borderId="7" xfId="0" applyNumberFormat="1" applyFont="1" applyFill="1" applyBorder="1"/>
    <xf numFmtId="0" fontId="1" fillId="0" borderId="0" xfId="0" applyFont="1"/>
    <xf numFmtId="3" fontId="1" fillId="0" borderId="0" xfId="0" applyNumberFormat="1" applyFont="1"/>
    <xf numFmtId="3" fontId="30" fillId="0" borderId="7" xfId="0" applyNumberFormat="1" applyFont="1" applyBorder="1" applyAlignment="1">
      <alignment horizontal="center"/>
    </xf>
    <xf numFmtId="3" fontId="14" fillId="0" borderId="3" xfId="0" applyNumberFormat="1" applyFont="1" applyBorder="1"/>
    <xf numFmtId="3" fontId="12" fillId="0" borderId="3" xfId="0" applyNumberFormat="1" applyFont="1" applyFill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3" fontId="12" fillId="0" borderId="10" xfId="0" applyNumberFormat="1" applyFont="1" applyFill="1" applyBorder="1"/>
    <xf numFmtId="3" fontId="11" fillId="0" borderId="11" xfId="0" applyNumberFormat="1" applyFont="1" applyBorder="1"/>
    <xf numFmtId="3" fontId="11" fillId="0" borderId="12" xfId="0" applyNumberFormat="1" applyFont="1" applyBorder="1"/>
    <xf numFmtId="3" fontId="14" fillId="0" borderId="6" xfId="0" applyNumberFormat="1" applyFont="1" applyFill="1" applyBorder="1"/>
    <xf numFmtId="0" fontId="23" fillId="0" borderId="9" xfId="0" applyFont="1" applyBorder="1"/>
    <xf numFmtId="3" fontId="5" fillId="0" borderId="9" xfId="0" applyNumberFormat="1" applyFont="1" applyBorder="1"/>
    <xf numFmtId="0" fontId="0" fillId="0" borderId="13" xfId="0" applyBorder="1"/>
    <xf numFmtId="3" fontId="14" fillId="0" borderId="3" xfId="0" applyNumberFormat="1" applyFont="1" applyFill="1" applyBorder="1"/>
    <xf numFmtId="0" fontId="34" fillId="0" borderId="0" xfId="0" applyFont="1"/>
    <xf numFmtId="0" fontId="1" fillId="0" borderId="0" xfId="0" applyFont="1" applyAlignment="1">
      <alignment horizontal="center"/>
    </xf>
    <xf numFmtId="0" fontId="35" fillId="0" borderId="0" xfId="0" applyFont="1" applyAlignment="1">
      <alignment horizontal="center"/>
    </xf>
  </cellXfs>
  <cellStyles count="4">
    <cellStyle name="เครื่องหมายจุลภาค 2" xfId="1"/>
    <cellStyle name="ปกติ" xfId="0" builtinId="0"/>
    <cellStyle name="ปกติ 2" xfId="2"/>
    <cellStyle name="ปกติ 3" xfId="3"/>
  </cellStyles>
  <dxfs count="0"/>
  <tableStyles count="0" defaultTableStyle="TableStyleMedium9" defaultPivotStyle="PivotStyleLight16"/>
  <colors>
    <mruColors>
      <color rgb="FF0099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410308</xdr:colOff>
      <xdr:row>1</xdr:row>
      <xdr:rowOff>7328</xdr:rowOff>
    </xdr:from>
    <xdr:to>
      <xdr:col>20</xdr:col>
      <xdr:colOff>468925</xdr:colOff>
      <xdr:row>1</xdr:row>
      <xdr:rowOff>256444</xdr:rowOff>
    </xdr:to>
    <xdr:sp macro="" textlink="">
      <xdr:nvSpPr>
        <xdr:cNvPr id="17" name="TextBox 16"/>
        <xdr:cNvSpPr txBox="1"/>
      </xdr:nvSpPr>
      <xdr:spPr>
        <a:xfrm>
          <a:off x="8843596" y="168520"/>
          <a:ext cx="967156" cy="2491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th-TH" sz="1100"/>
            <a:t>ภาพรวมทั้งปี</a:t>
          </a:r>
        </a:p>
      </xdr:txBody>
    </xdr:sp>
    <xdr:clientData/>
  </xdr:twoCellAnchor>
  <xdr:twoCellAnchor>
    <xdr:from>
      <xdr:col>16</xdr:col>
      <xdr:colOff>95250</xdr:colOff>
      <xdr:row>35</xdr:row>
      <xdr:rowOff>43960</xdr:rowOff>
    </xdr:from>
    <xdr:to>
      <xdr:col>20</xdr:col>
      <xdr:colOff>454270</xdr:colOff>
      <xdr:row>36</xdr:row>
      <xdr:rowOff>102576</xdr:rowOff>
    </xdr:to>
    <xdr:sp macro="" textlink="">
      <xdr:nvSpPr>
        <xdr:cNvPr id="18" name="TextBox 17"/>
        <xdr:cNvSpPr txBox="1"/>
      </xdr:nvSpPr>
      <xdr:spPr>
        <a:xfrm>
          <a:off x="7429500" y="6374422"/>
          <a:ext cx="2366597" cy="2491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100"/>
            <a:t>บช.น.</a:t>
          </a:r>
          <a:r>
            <a:rPr lang="en-US" sz="1100"/>
            <a:t>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ปีงบประมาณ 2564   </a:t>
          </a:r>
          <a:r>
            <a:rPr lang="th-TH" sz="1100"/>
            <a:t> (ทั้งปี)</a:t>
          </a:r>
        </a:p>
      </xdr:txBody>
    </xdr:sp>
    <xdr:clientData/>
  </xdr:twoCellAnchor>
  <xdr:twoCellAnchor>
    <xdr:from>
      <xdr:col>16</xdr:col>
      <xdr:colOff>212482</xdr:colOff>
      <xdr:row>72</xdr:row>
      <xdr:rowOff>0</xdr:rowOff>
    </xdr:from>
    <xdr:to>
      <xdr:col>20</xdr:col>
      <xdr:colOff>454271</xdr:colOff>
      <xdr:row>73</xdr:row>
      <xdr:rowOff>95249</xdr:rowOff>
    </xdr:to>
    <xdr:sp macro="" textlink="">
      <xdr:nvSpPr>
        <xdr:cNvPr id="19" name="TextBox 18"/>
        <xdr:cNvSpPr txBox="1"/>
      </xdr:nvSpPr>
      <xdr:spPr>
        <a:xfrm>
          <a:off x="7546732" y="12858750"/>
          <a:ext cx="2249366" cy="2564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100"/>
            <a:t>ภ.1</a:t>
          </a:r>
          <a:r>
            <a:rPr lang="en-US" sz="1100"/>
            <a:t>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ปีงบประมาณ 2564  </a:t>
          </a:r>
          <a:r>
            <a:rPr lang="th-TH" sz="1100"/>
            <a:t>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(ทั้งปี)</a:t>
          </a:r>
          <a:endParaRPr lang="th-TH" sz="1100"/>
        </a:p>
      </xdr:txBody>
    </xdr:sp>
    <xdr:clientData/>
  </xdr:twoCellAnchor>
  <xdr:twoCellAnchor>
    <xdr:from>
      <xdr:col>16</xdr:col>
      <xdr:colOff>139212</xdr:colOff>
      <xdr:row>109</xdr:row>
      <xdr:rowOff>139213</xdr:rowOff>
    </xdr:from>
    <xdr:to>
      <xdr:col>20</xdr:col>
      <xdr:colOff>454270</xdr:colOff>
      <xdr:row>111</xdr:row>
      <xdr:rowOff>95250</xdr:rowOff>
    </xdr:to>
    <xdr:sp macro="" textlink="">
      <xdr:nvSpPr>
        <xdr:cNvPr id="20" name="TextBox 19"/>
        <xdr:cNvSpPr txBox="1"/>
      </xdr:nvSpPr>
      <xdr:spPr>
        <a:xfrm>
          <a:off x="7473462" y="19174559"/>
          <a:ext cx="2322635" cy="2784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100"/>
            <a:t>ภ.2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ปีงบประมาณ 2564  (ทั้งปี)</a:t>
          </a:r>
          <a:endParaRPr lang="th-TH" sz="1100"/>
        </a:p>
      </xdr:txBody>
    </xdr:sp>
    <xdr:clientData/>
  </xdr:twoCellAnchor>
  <xdr:twoCellAnchor>
    <xdr:from>
      <xdr:col>16</xdr:col>
      <xdr:colOff>124558</xdr:colOff>
      <xdr:row>148</xdr:row>
      <xdr:rowOff>7328</xdr:rowOff>
    </xdr:from>
    <xdr:to>
      <xdr:col>20</xdr:col>
      <xdr:colOff>439618</xdr:colOff>
      <xdr:row>149</xdr:row>
      <xdr:rowOff>102578</xdr:rowOff>
    </xdr:to>
    <xdr:sp macro="" textlink="">
      <xdr:nvSpPr>
        <xdr:cNvPr id="21" name="TextBox 20"/>
        <xdr:cNvSpPr txBox="1"/>
      </xdr:nvSpPr>
      <xdr:spPr>
        <a:xfrm>
          <a:off x="7458808" y="25541655"/>
          <a:ext cx="2322637" cy="2564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100"/>
            <a:t>ภ.3</a:t>
          </a:r>
          <a:r>
            <a:rPr lang="en-US" sz="1100"/>
            <a:t>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ปีงบประมาณ 2564   (ทั้งปี)</a:t>
          </a:r>
          <a:endParaRPr lang="th-TH" sz="1100"/>
        </a:p>
      </xdr:txBody>
    </xdr:sp>
    <xdr:clientData/>
  </xdr:twoCellAnchor>
  <xdr:twoCellAnchor>
    <xdr:from>
      <xdr:col>16</xdr:col>
      <xdr:colOff>58615</xdr:colOff>
      <xdr:row>183</xdr:row>
      <xdr:rowOff>14652</xdr:rowOff>
    </xdr:from>
    <xdr:to>
      <xdr:col>20</xdr:col>
      <xdr:colOff>439616</xdr:colOff>
      <xdr:row>184</xdr:row>
      <xdr:rowOff>87922</xdr:rowOff>
    </xdr:to>
    <xdr:sp macro="" textlink="">
      <xdr:nvSpPr>
        <xdr:cNvPr id="22" name="TextBox 21"/>
        <xdr:cNvSpPr txBox="1"/>
      </xdr:nvSpPr>
      <xdr:spPr>
        <a:xfrm>
          <a:off x="7195038" y="31615671"/>
          <a:ext cx="2271347" cy="2344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100"/>
            <a:t>ภ.4</a:t>
          </a:r>
          <a:r>
            <a:rPr lang="en-US" sz="1100"/>
            <a:t>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ปีงบประมาณ 2564   </a:t>
          </a:r>
          <a:r>
            <a:rPr lang="th-TH" sz="1100"/>
            <a:t>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(ทั้งปี)</a:t>
          </a:r>
          <a:endParaRPr lang="th-TH" sz="1100"/>
        </a:p>
      </xdr:txBody>
    </xdr:sp>
    <xdr:clientData/>
  </xdr:twoCellAnchor>
  <xdr:twoCellAnchor>
    <xdr:from>
      <xdr:col>16</xdr:col>
      <xdr:colOff>263769</xdr:colOff>
      <xdr:row>220</xdr:row>
      <xdr:rowOff>0</xdr:rowOff>
    </xdr:from>
    <xdr:to>
      <xdr:col>20</xdr:col>
      <xdr:colOff>468925</xdr:colOff>
      <xdr:row>221</xdr:row>
      <xdr:rowOff>87923</xdr:rowOff>
    </xdr:to>
    <xdr:sp macro="" textlink="">
      <xdr:nvSpPr>
        <xdr:cNvPr id="23" name="TextBox 22"/>
        <xdr:cNvSpPr txBox="1"/>
      </xdr:nvSpPr>
      <xdr:spPr>
        <a:xfrm>
          <a:off x="7598019" y="38253865"/>
          <a:ext cx="2212733" cy="2491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100"/>
            <a:t>ภ.5</a:t>
          </a:r>
          <a:r>
            <a:rPr lang="en-US" sz="1100"/>
            <a:t>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ปีงบประมาณ 2564   (ทั้งปี)</a:t>
          </a:r>
          <a:endParaRPr lang="th-TH" sz="1100"/>
        </a:p>
      </xdr:txBody>
    </xdr:sp>
    <xdr:clientData/>
  </xdr:twoCellAnchor>
  <xdr:twoCellAnchor>
    <xdr:from>
      <xdr:col>16</xdr:col>
      <xdr:colOff>139213</xdr:colOff>
      <xdr:row>258</xdr:row>
      <xdr:rowOff>14654</xdr:rowOff>
    </xdr:from>
    <xdr:to>
      <xdr:col>20</xdr:col>
      <xdr:colOff>461599</xdr:colOff>
      <xdr:row>259</xdr:row>
      <xdr:rowOff>87923</xdr:rowOff>
    </xdr:to>
    <xdr:sp macro="" textlink="">
      <xdr:nvSpPr>
        <xdr:cNvPr id="24" name="TextBox 23"/>
        <xdr:cNvSpPr txBox="1"/>
      </xdr:nvSpPr>
      <xdr:spPr>
        <a:xfrm>
          <a:off x="7275636" y="44210654"/>
          <a:ext cx="2212732" cy="2344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100"/>
            <a:t>ภ.6</a:t>
          </a:r>
          <a:r>
            <a:rPr lang="en-US" sz="1100"/>
            <a:t>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ปีงบประมาณ 2564   </a:t>
          </a:r>
          <a:r>
            <a:rPr lang="th-TH" sz="1100"/>
            <a:t>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(ทั้งปี)</a:t>
          </a:r>
          <a:endParaRPr lang="th-TH" sz="1100"/>
        </a:p>
      </xdr:txBody>
    </xdr:sp>
    <xdr:clientData/>
  </xdr:twoCellAnchor>
  <xdr:twoCellAnchor>
    <xdr:from>
      <xdr:col>15</xdr:col>
      <xdr:colOff>432289</xdr:colOff>
      <xdr:row>294</xdr:row>
      <xdr:rowOff>139212</xdr:rowOff>
    </xdr:from>
    <xdr:to>
      <xdr:col>20</xdr:col>
      <xdr:colOff>476252</xdr:colOff>
      <xdr:row>296</xdr:row>
      <xdr:rowOff>87923</xdr:rowOff>
    </xdr:to>
    <xdr:sp macro="" textlink="">
      <xdr:nvSpPr>
        <xdr:cNvPr id="25" name="TextBox 24"/>
        <xdr:cNvSpPr txBox="1"/>
      </xdr:nvSpPr>
      <xdr:spPr>
        <a:xfrm>
          <a:off x="7114443" y="50152789"/>
          <a:ext cx="2483828" cy="2710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100"/>
            <a:t>ภ.7</a:t>
          </a:r>
          <a:r>
            <a:rPr lang="en-US" sz="1100"/>
            <a:t>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ปีงบประมาณ 2564   </a:t>
          </a:r>
          <a:r>
            <a:rPr lang="th-TH" sz="1100"/>
            <a:t>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(ทั้งปี)</a:t>
          </a:r>
          <a:endParaRPr lang="th-TH" sz="1100"/>
        </a:p>
      </xdr:txBody>
    </xdr:sp>
    <xdr:clientData/>
  </xdr:twoCellAnchor>
  <xdr:twoCellAnchor>
    <xdr:from>
      <xdr:col>15</xdr:col>
      <xdr:colOff>388327</xdr:colOff>
      <xdr:row>332</xdr:row>
      <xdr:rowOff>1</xdr:rowOff>
    </xdr:from>
    <xdr:to>
      <xdr:col>20</xdr:col>
      <xdr:colOff>432291</xdr:colOff>
      <xdr:row>333</xdr:row>
      <xdr:rowOff>139211</xdr:rowOff>
    </xdr:to>
    <xdr:sp macro="" textlink="">
      <xdr:nvSpPr>
        <xdr:cNvPr id="26" name="TextBox 25"/>
        <xdr:cNvSpPr txBox="1"/>
      </xdr:nvSpPr>
      <xdr:spPr>
        <a:xfrm>
          <a:off x="7070481" y="56798309"/>
          <a:ext cx="2483829" cy="3004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100"/>
            <a:t>ภ.8 </a:t>
          </a:r>
          <a:r>
            <a:rPr lang="en-US" sz="1100"/>
            <a:t>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ปีงบประมาณ 2564   (ทั้งปี)</a:t>
          </a:r>
          <a:endParaRPr lang="th-TH" sz="1100"/>
        </a:p>
      </xdr:txBody>
    </xdr:sp>
    <xdr:clientData/>
  </xdr:twoCellAnchor>
  <xdr:twoCellAnchor>
    <xdr:from>
      <xdr:col>16</xdr:col>
      <xdr:colOff>249116</xdr:colOff>
      <xdr:row>368</xdr:row>
      <xdr:rowOff>21980</xdr:rowOff>
    </xdr:from>
    <xdr:to>
      <xdr:col>20</xdr:col>
      <xdr:colOff>454271</xdr:colOff>
      <xdr:row>369</xdr:row>
      <xdr:rowOff>117230</xdr:rowOff>
    </xdr:to>
    <xdr:sp macro="" textlink="">
      <xdr:nvSpPr>
        <xdr:cNvPr id="27" name="TextBox 26"/>
        <xdr:cNvSpPr txBox="1"/>
      </xdr:nvSpPr>
      <xdr:spPr>
        <a:xfrm>
          <a:off x="7583366" y="63626999"/>
          <a:ext cx="2212732" cy="2564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100"/>
            <a:t>ภ.9 </a:t>
          </a:r>
          <a:r>
            <a:rPr lang="en-US" sz="1100"/>
            <a:t>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ปีงบประมาณ 2564   (ทั้งปี)</a:t>
          </a:r>
          <a:endParaRPr lang="th-TH" sz="1100"/>
        </a:p>
      </xdr:txBody>
    </xdr:sp>
    <xdr:clientData/>
  </xdr:twoCellAnchor>
  <xdr:twoCellAnchor>
    <xdr:from>
      <xdr:col>15</xdr:col>
      <xdr:colOff>14654</xdr:colOff>
      <xdr:row>405</xdr:row>
      <xdr:rowOff>58615</xdr:rowOff>
    </xdr:from>
    <xdr:to>
      <xdr:col>20</xdr:col>
      <xdr:colOff>476252</xdr:colOff>
      <xdr:row>406</xdr:row>
      <xdr:rowOff>95250</xdr:rowOff>
    </xdr:to>
    <xdr:sp macro="" textlink="">
      <xdr:nvSpPr>
        <xdr:cNvPr id="29" name="TextBox 28"/>
        <xdr:cNvSpPr txBox="1"/>
      </xdr:nvSpPr>
      <xdr:spPr>
        <a:xfrm>
          <a:off x="6696808" y="69298038"/>
          <a:ext cx="2806213" cy="1978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100"/>
            <a:t>บช.ก.(รฟ.)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ปีงบประมาณ 2564   (</a:t>
          </a:r>
          <a:r>
            <a:rPr lang="th-TH" sz="1100"/>
            <a:t>ทั้งปี)</a:t>
          </a:r>
        </a:p>
      </xdr:txBody>
    </xdr:sp>
    <xdr:clientData/>
  </xdr:twoCellAnchor>
  <xdr:twoCellAnchor>
    <xdr:from>
      <xdr:col>16</xdr:col>
      <xdr:colOff>36635</xdr:colOff>
      <xdr:row>442</xdr:row>
      <xdr:rowOff>80597</xdr:rowOff>
    </xdr:from>
    <xdr:to>
      <xdr:col>20</xdr:col>
      <xdr:colOff>490905</xdr:colOff>
      <xdr:row>443</xdr:row>
      <xdr:rowOff>117232</xdr:rowOff>
    </xdr:to>
    <xdr:sp macro="" textlink="">
      <xdr:nvSpPr>
        <xdr:cNvPr id="30" name="TextBox 29"/>
        <xdr:cNvSpPr txBox="1"/>
      </xdr:nvSpPr>
      <xdr:spPr>
        <a:xfrm>
          <a:off x="7370885" y="76280597"/>
          <a:ext cx="2461847" cy="1978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100"/>
            <a:t>รพ.ตร.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ปีงบประมาณ 2564   (ทั้งปี)</a:t>
          </a:r>
          <a:endParaRPr lang="th-TH" sz="1100"/>
        </a:p>
      </xdr:txBody>
    </xdr:sp>
    <xdr:clientData/>
  </xdr:twoCellAnchor>
  <xdr:twoCellAnchor>
    <xdr:from>
      <xdr:col>15</xdr:col>
      <xdr:colOff>36634</xdr:colOff>
      <xdr:row>480</xdr:row>
      <xdr:rowOff>109904</xdr:rowOff>
    </xdr:from>
    <xdr:to>
      <xdr:col>20</xdr:col>
      <xdr:colOff>476251</xdr:colOff>
      <xdr:row>482</xdr:row>
      <xdr:rowOff>80597</xdr:rowOff>
    </xdr:to>
    <xdr:sp macro="" textlink="">
      <xdr:nvSpPr>
        <xdr:cNvPr id="31" name="TextBox 30"/>
        <xdr:cNvSpPr txBox="1"/>
      </xdr:nvSpPr>
      <xdr:spPr>
        <a:xfrm>
          <a:off x="6916615" y="82567096"/>
          <a:ext cx="2901463" cy="2930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100"/>
            <a:t>สยศ.ตร.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ปีงบประมาณ 2564   (</a:t>
          </a:r>
          <a:r>
            <a:rPr lang="th-TH" sz="1100"/>
            <a:t>ทั้งปี)</a:t>
          </a:r>
        </a:p>
      </xdr:txBody>
    </xdr:sp>
    <xdr:clientData/>
  </xdr:twoCellAnchor>
  <xdr:twoCellAnchor>
    <xdr:from>
      <xdr:col>16</xdr:col>
      <xdr:colOff>461596</xdr:colOff>
      <xdr:row>26</xdr:row>
      <xdr:rowOff>47627</xdr:rowOff>
    </xdr:from>
    <xdr:to>
      <xdr:col>20</xdr:col>
      <xdr:colOff>490904</xdr:colOff>
      <xdr:row>33</xdr:row>
      <xdr:rowOff>51289</xdr:rowOff>
    </xdr:to>
    <xdr:sp macro="" textlink="">
      <xdr:nvSpPr>
        <xdr:cNvPr id="46" name="TextBox 45"/>
        <xdr:cNvSpPr txBox="1"/>
      </xdr:nvSpPr>
      <xdr:spPr>
        <a:xfrm>
          <a:off x="7554058" y="4568339"/>
          <a:ext cx="1919654" cy="13444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ตรวจแล้วถูกต้อง</a:t>
          </a:r>
        </a:p>
        <a:p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พ.ต.ท.หญิง</a:t>
          </a: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(บุศรา   น้อยมหาวัย</a:t>
          </a:r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รอง ผกก.ฯ ปรท.ผกก.สร.ผอ.</a:t>
          </a:r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17</xdr:col>
      <xdr:colOff>0</xdr:colOff>
      <xdr:row>60</xdr:row>
      <xdr:rowOff>0</xdr:rowOff>
    </xdr:from>
    <xdr:to>
      <xdr:col>20</xdr:col>
      <xdr:colOff>498231</xdr:colOff>
      <xdr:row>66</xdr:row>
      <xdr:rowOff>84259</xdr:rowOff>
    </xdr:to>
    <xdr:sp macro="" textlink="">
      <xdr:nvSpPr>
        <xdr:cNvPr id="43" name="TextBox 45"/>
        <xdr:cNvSpPr txBox="1"/>
      </xdr:nvSpPr>
      <xdr:spPr>
        <a:xfrm>
          <a:off x="7590692" y="10506808"/>
          <a:ext cx="1919654" cy="11393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ตรวจแล้วถูกต้อง</a:t>
          </a:r>
        </a:p>
        <a:p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พ.ต.ท.หญิง</a:t>
          </a: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(บุศรา   น้อยมหาวัย</a:t>
          </a:r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รอง ผกก.ฯ ปรท.ผกก.สร.ผอ.</a:t>
          </a:r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17</xdr:col>
      <xdr:colOff>0</xdr:colOff>
      <xdr:row>97</xdr:row>
      <xdr:rowOff>0</xdr:rowOff>
    </xdr:from>
    <xdr:to>
      <xdr:col>20</xdr:col>
      <xdr:colOff>498231</xdr:colOff>
      <xdr:row>103</xdr:row>
      <xdr:rowOff>150202</xdr:rowOff>
    </xdr:to>
    <xdr:sp macro="" textlink="">
      <xdr:nvSpPr>
        <xdr:cNvPr id="44" name="TextBox 45"/>
        <xdr:cNvSpPr txBox="1"/>
      </xdr:nvSpPr>
      <xdr:spPr>
        <a:xfrm>
          <a:off x="7590692" y="16881231"/>
          <a:ext cx="1919654" cy="11393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ตรวจแล้วถูกต้อง</a:t>
          </a:r>
        </a:p>
        <a:p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พ.ต.ท.หญิง</a:t>
          </a: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(บุศรา   น้อยมหาวัย</a:t>
          </a:r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รอง ผกก.ฯ ปรท.ผกก.สร.ผอ.</a:t>
          </a:r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17</xdr:col>
      <xdr:colOff>0</xdr:colOff>
      <xdr:row>134</xdr:row>
      <xdr:rowOff>0</xdr:rowOff>
    </xdr:from>
    <xdr:to>
      <xdr:col>20</xdr:col>
      <xdr:colOff>498231</xdr:colOff>
      <xdr:row>140</xdr:row>
      <xdr:rowOff>150201</xdr:rowOff>
    </xdr:to>
    <xdr:sp macro="" textlink="">
      <xdr:nvSpPr>
        <xdr:cNvPr id="47" name="TextBox 45"/>
        <xdr:cNvSpPr txBox="1"/>
      </xdr:nvSpPr>
      <xdr:spPr>
        <a:xfrm>
          <a:off x="7590692" y="23021192"/>
          <a:ext cx="1919654" cy="11393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ตรวจแล้วถูกต้อง</a:t>
          </a:r>
        </a:p>
        <a:p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พ.ต.ท.หญิง</a:t>
          </a: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(บุศรา   น้อยมหาวัย</a:t>
          </a:r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รอง ผกก.ฯ ปรท.ผกก.สร.ผอ.</a:t>
          </a:r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17</xdr:col>
      <xdr:colOff>0</xdr:colOff>
      <xdr:row>173</xdr:row>
      <xdr:rowOff>0</xdr:rowOff>
    </xdr:from>
    <xdr:to>
      <xdr:col>20</xdr:col>
      <xdr:colOff>498231</xdr:colOff>
      <xdr:row>179</xdr:row>
      <xdr:rowOff>157528</xdr:rowOff>
    </xdr:to>
    <xdr:sp macro="" textlink="">
      <xdr:nvSpPr>
        <xdr:cNvPr id="48" name="TextBox 45"/>
        <xdr:cNvSpPr txBox="1"/>
      </xdr:nvSpPr>
      <xdr:spPr>
        <a:xfrm>
          <a:off x="7590692" y="29490865"/>
          <a:ext cx="1919654" cy="11393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ตรวจแล้วถูกต้อง</a:t>
          </a:r>
        </a:p>
        <a:p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พ.ต.ท.หญิง</a:t>
          </a: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(บุศรา   น้อยมหาวัย</a:t>
          </a:r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รอง ผกก.ฯ ปรท.ผกก.สร.ผอ.</a:t>
          </a:r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17</xdr:col>
      <xdr:colOff>0</xdr:colOff>
      <xdr:row>211</xdr:row>
      <xdr:rowOff>0</xdr:rowOff>
    </xdr:from>
    <xdr:to>
      <xdr:col>20</xdr:col>
      <xdr:colOff>498231</xdr:colOff>
      <xdr:row>217</xdr:row>
      <xdr:rowOff>69605</xdr:rowOff>
    </xdr:to>
    <xdr:sp macro="" textlink="">
      <xdr:nvSpPr>
        <xdr:cNvPr id="49" name="TextBox 45"/>
        <xdr:cNvSpPr txBox="1"/>
      </xdr:nvSpPr>
      <xdr:spPr>
        <a:xfrm>
          <a:off x="7590692" y="36275596"/>
          <a:ext cx="1919654" cy="11393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ตรวจแล้วถูกต้อง</a:t>
          </a:r>
        </a:p>
        <a:p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พ.ต.ท.หญิง</a:t>
          </a: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(บุศรา   น้อยมหาวัย</a:t>
          </a:r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รอง ผกก.ฯ ปรท.ผกก.สร.ผอ.</a:t>
          </a:r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17</xdr:col>
      <xdr:colOff>0</xdr:colOff>
      <xdr:row>245</xdr:row>
      <xdr:rowOff>0</xdr:rowOff>
    </xdr:from>
    <xdr:to>
      <xdr:col>20</xdr:col>
      <xdr:colOff>498231</xdr:colOff>
      <xdr:row>251</xdr:row>
      <xdr:rowOff>157528</xdr:rowOff>
    </xdr:to>
    <xdr:sp macro="" textlink="">
      <xdr:nvSpPr>
        <xdr:cNvPr id="50" name="TextBox 45"/>
        <xdr:cNvSpPr txBox="1"/>
      </xdr:nvSpPr>
      <xdr:spPr>
        <a:xfrm>
          <a:off x="7590692" y="42085846"/>
          <a:ext cx="1919654" cy="11393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ตรวจแล้วถูกต้อง</a:t>
          </a:r>
        </a:p>
        <a:p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พ.ต.ท.หญิง</a:t>
          </a: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(บุศรา   น้อยมหาวัย</a:t>
          </a:r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รอง ผกก.ฯ ปรท.ผกก.สร.ผอ.</a:t>
          </a:r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17</xdr:col>
      <xdr:colOff>0</xdr:colOff>
      <xdr:row>284</xdr:row>
      <xdr:rowOff>0</xdr:rowOff>
    </xdr:from>
    <xdr:to>
      <xdr:col>20</xdr:col>
      <xdr:colOff>498231</xdr:colOff>
      <xdr:row>290</xdr:row>
      <xdr:rowOff>157528</xdr:rowOff>
    </xdr:to>
    <xdr:sp macro="" textlink="">
      <xdr:nvSpPr>
        <xdr:cNvPr id="51" name="TextBox 45"/>
        <xdr:cNvSpPr txBox="1"/>
      </xdr:nvSpPr>
      <xdr:spPr>
        <a:xfrm>
          <a:off x="7590692" y="48548192"/>
          <a:ext cx="1919654" cy="11393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ตรวจแล้วถูกต้อง</a:t>
          </a:r>
        </a:p>
        <a:p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พ.ต.ท.หญิง</a:t>
          </a: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(บุศรา   น้อยมหาวัย</a:t>
          </a:r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รอง ผกก.ฯ ปรท.ผกก.สร.ผอ.</a:t>
          </a:r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17</xdr:col>
      <xdr:colOff>0</xdr:colOff>
      <xdr:row>320</xdr:row>
      <xdr:rowOff>0</xdr:rowOff>
    </xdr:from>
    <xdr:to>
      <xdr:col>20</xdr:col>
      <xdr:colOff>498231</xdr:colOff>
      <xdr:row>326</xdr:row>
      <xdr:rowOff>157528</xdr:rowOff>
    </xdr:to>
    <xdr:sp macro="" textlink="">
      <xdr:nvSpPr>
        <xdr:cNvPr id="52" name="TextBox 45"/>
        <xdr:cNvSpPr txBox="1"/>
      </xdr:nvSpPr>
      <xdr:spPr>
        <a:xfrm>
          <a:off x="7590692" y="54849346"/>
          <a:ext cx="1919654" cy="11393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ตรวจแล้วถูกต้อง</a:t>
          </a:r>
        </a:p>
        <a:p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พ.ต.ท.หญิง</a:t>
          </a: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(บุศรา   น้อยมหาวัย</a:t>
          </a:r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รอง ผกก.ฯ ปรท.ผกก.สร.ผอ.</a:t>
          </a:r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16</xdr:col>
      <xdr:colOff>432288</xdr:colOff>
      <xdr:row>357</xdr:row>
      <xdr:rowOff>14654</xdr:rowOff>
    </xdr:from>
    <xdr:to>
      <xdr:col>20</xdr:col>
      <xdr:colOff>461596</xdr:colOff>
      <xdr:row>364</xdr:row>
      <xdr:rowOff>10990</xdr:rowOff>
    </xdr:to>
    <xdr:sp macro="" textlink="">
      <xdr:nvSpPr>
        <xdr:cNvPr id="53" name="TextBox 45"/>
        <xdr:cNvSpPr txBox="1"/>
      </xdr:nvSpPr>
      <xdr:spPr>
        <a:xfrm>
          <a:off x="7554057" y="61003962"/>
          <a:ext cx="1919654" cy="11393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ตรวจแล้วถูกต้อง</a:t>
          </a:r>
        </a:p>
        <a:p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พ.ต.ท.หญิง</a:t>
          </a: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(บุศรา   น้อยมหาวัย</a:t>
          </a:r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รอง ผกก.ฯ ปรท.ผกก.สร.ผอ.</a:t>
          </a:r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16</xdr:col>
      <xdr:colOff>322385</xdr:colOff>
      <xdr:row>393</xdr:row>
      <xdr:rowOff>153865</xdr:rowOff>
    </xdr:from>
    <xdr:to>
      <xdr:col>20</xdr:col>
      <xdr:colOff>351693</xdr:colOff>
      <xdr:row>400</xdr:row>
      <xdr:rowOff>150201</xdr:rowOff>
    </xdr:to>
    <xdr:sp macro="" textlink="">
      <xdr:nvSpPr>
        <xdr:cNvPr id="54" name="TextBox 45"/>
        <xdr:cNvSpPr txBox="1"/>
      </xdr:nvSpPr>
      <xdr:spPr>
        <a:xfrm>
          <a:off x="7444154" y="67444327"/>
          <a:ext cx="1919654" cy="11393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ตรวจแล้วถูกต้อง</a:t>
          </a:r>
        </a:p>
        <a:p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พ.ต.ท.หญิง</a:t>
          </a: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(บุศรา   น้อยมหาวัย</a:t>
          </a:r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รอง ผกก.ฯ ปรท.ผกก.สร.ผอ.</a:t>
          </a:r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16</xdr:col>
      <xdr:colOff>285750</xdr:colOff>
      <xdr:row>415</xdr:row>
      <xdr:rowOff>0</xdr:rowOff>
    </xdr:from>
    <xdr:to>
      <xdr:col>20</xdr:col>
      <xdr:colOff>315058</xdr:colOff>
      <xdr:row>419</xdr:row>
      <xdr:rowOff>172182</xdr:rowOff>
    </xdr:to>
    <xdr:sp macro="" textlink="">
      <xdr:nvSpPr>
        <xdr:cNvPr id="55" name="TextBox 45"/>
        <xdr:cNvSpPr txBox="1"/>
      </xdr:nvSpPr>
      <xdr:spPr>
        <a:xfrm>
          <a:off x="7407519" y="70968577"/>
          <a:ext cx="1919654" cy="11393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ตรวจแล้วถูกต้อง</a:t>
          </a:r>
        </a:p>
        <a:p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พ.ต.ท.หญิง</a:t>
          </a: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(บุศรา   น้อยมหาวัย</a:t>
          </a:r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รอง ผกก.ฯ ปรท.ผกก.สร.ผอ.</a:t>
          </a:r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17</xdr:col>
      <xdr:colOff>0</xdr:colOff>
      <xdr:row>449</xdr:row>
      <xdr:rowOff>0</xdr:rowOff>
    </xdr:from>
    <xdr:to>
      <xdr:col>20</xdr:col>
      <xdr:colOff>498231</xdr:colOff>
      <xdr:row>456</xdr:row>
      <xdr:rowOff>10990</xdr:rowOff>
    </xdr:to>
    <xdr:sp macro="" textlink="">
      <xdr:nvSpPr>
        <xdr:cNvPr id="56" name="TextBox 45"/>
        <xdr:cNvSpPr txBox="1"/>
      </xdr:nvSpPr>
      <xdr:spPr>
        <a:xfrm>
          <a:off x="7590692" y="76947346"/>
          <a:ext cx="1919654" cy="11393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ตรวจแล้วถูกต้อง</a:t>
          </a:r>
        </a:p>
        <a:p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พ.ต.ท.หญิง</a:t>
          </a: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(บุศรา   น้อยมหาวัย</a:t>
          </a:r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รอง ผกก.ฯ ปรท.ผกก.สร.ผอ.</a:t>
          </a:r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17</xdr:col>
      <xdr:colOff>0</xdr:colOff>
      <xdr:row>490</xdr:row>
      <xdr:rowOff>0</xdr:rowOff>
    </xdr:from>
    <xdr:to>
      <xdr:col>20</xdr:col>
      <xdr:colOff>498231</xdr:colOff>
      <xdr:row>497</xdr:row>
      <xdr:rowOff>10990</xdr:rowOff>
    </xdr:to>
    <xdr:sp macro="" textlink="">
      <xdr:nvSpPr>
        <xdr:cNvPr id="57" name="TextBox 45"/>
        <xdr:cNvSpPr txBox="1"/>
      </xdr:nvSpPr>
      <xdr:spPr>
        <a:xfrm>
          <a:off x="7590692" y="83651481"/>
          <a:ext cx="1919654" cy="11393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ตรวจแล้วถูกต้อง</a:t>
          </a:r>
        </a:p>
        <a:p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พ.ต.ท.หญิง</a:t>
          </a: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(บุศรา   น้อยมหาวัย</a:t>
          </a:r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รอง ผกก.ฯ ปรท.ผกก.สร.ผอ.</a:t>
          </a:r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329713</xdr:colOff>
      <xdr:row>1</xdr:row>
      <xdr:rowOff>7328</xdr:rowOff>
    </xdr:from>
    <xdr:to>
      <xdr:col>20</xdr:col>
      <xdr:colOff>468926</xdr:colOff>
      <xdr:row>1</xdr:row>
      <xdr:rowOff>256444</xdr:rowOff>
    </xdr:to>
    <xdr:sp macro="" textlink="">
      <xdr:nvSpPr>
        <xdr:cNvPr id="2" name="TextBox 16"/>
        <xdr:cNvSpPr txBox="1"/>
      </xdr:nvSpPr>
      <xdr:spPr>
        <a:xfrm>
          <a:off x="7935059" y="168520"/>
          <a:ext cx="1560636" cy="2491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th-TH" sz="1100"/>
            <a:t>งวดที่ 1 ไตรมาส 1-2</a:t>
          </a:r>
        </a:p>
      </xdr:txBody>
    </xdr:sp>
    <xdr:clientData/>
  </xdr:twoCellAnchor>
  <xdr:twoCellAnchor>
    <xdr:from>
      <xdr:col>14</xdr:col>
      <xdr:colOff>95250</xdr:colOff>
      <xdr:row>34</xdr:row>
      <xdr:rowOff>43960</xdr:rowOff>
    </xdr:from>
    <xdr:to>
      <xdr:col>20</xdr:col>
      <xdr:colOff>454270</xdr:colOff>
      <xdr:row>35</xdr:row>
      <xdr:rowOff>102576</xdr:rowOff>
    </xdr:to>
    <xdr:sp macro="" textlink="">
      <xdr:nvSpPr>
        <xdr:cNvPr id="3" name="TextBox 17"/>
        <xdr:cNvSpPr txBox="1"/>
      </xdr:nvSpPr>
      <xdr:spPr>
        <a:xfrm>
          <a:off x="6308481" y="6337787"/>
          <a:ext cx="3172558" cy="2491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100"/>
            <a:t>บช.น.</a:t>
          </a:r>
          <a:r>
            <a:rPr lang="en-US" sz="1100"/>
            <a:t>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ปีงบประมาณ 2564   </a:t>
          </a:r>
          <a:r>
            <a:rPr lang="th-TH" sz="1100"/>
            <a:t> (งวดที่ </a:t>
          </a:r>
          <a:r>
            <a:rPr lang="en-US" sz="1100"/>
            <a:t>2</a:t>
          </a:r>
          <a:r>
            <a:rPr lang="th-TH" sz="1100"/>
            <a:t> ไตรมาส </a:t>
          </a:r>
          <a:r>
            <a:rPr lang="en-US" sz="1100"/>
            <a:t>3</a:t>
          </a:r>
          <a:r>
            <a:rPr lang="th-TH" sz="1100"/>
            <a:t>-</a:t>
          </a:r>
          <a:r>
            <a:rPr lang="en-US" sz="1100"/>
            <a:t>4</a:t>
          </a:r>
          <a:r>
            <a:rPr lang="th-TH" sz="1100"/>
            <a:t>)</a:t>
          </a:r>
        </a:p>
      </xdr:txBody>
    </xdr:sp>
    <xdr:clientData/>
  </xdr:twoCellAnchor>
  <xdr:twoCellAnchor>
    <xdr:from>
      <xdr:col>14</xdr:col>
      <xdr:colOff>300404</xdr:colOff>
      <xdr:row>71</xdr:row>
      <xdr:rowOff>0</xdr:rowOff>
    </xdr:from>
    <xdr:to>
      <xdr:col>20</xdr:col>
      <xdr:colOff>454272</xdr:colOff>
      <xdr:row>72</xdr:row>
      <xdr:rowOff>95249</xdr:rowOff>
    </xdr:to>
    <xdr:sp macro="" textlink="">
      <xdr:nvSpPr>
        <xdr:cNvPr id="4" name="TextBox 18"/>
        <xdr:cNvSpPr txBox="1"/>
      </xdr:nvSpPr>
      <xdr:spPr>
        <a:xfrm>
          <a:off x="6513635" y="12697558"/>
          <a:ext cx="2967406" cy="2564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100"/>
            <a:t>ภ.1</a:t>
          </a:r>
          <a:r>
            <a:rPr lang="en-US" sz="1100"/>
            <a:t>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ปีงบประมาณ 2564  </a:t>
          </a:r>
          <a:r>
            <a:rPr lang="th-TH" sz="1100"/>
            <a:t>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(งวดที่ 1 ไตรมาส 1-2)</a:t>
          </a:r>
          <a:endParaRPr lang="th-TH" sz="1100"/>
        </a:p>
      </xdr:txBody>
    </xdr:sp>
    <xdr:clientData/>
  </xdr:twoCellAnchor>
  <xdr:twoCellAnchor>
    <xdr:from>
      <xdr:col>14</xdr:col>
      <xdr:colOff>263769</xdr:colOff>
      <xdr:row>107</xdr:row>
      <xdr:rowOff>139213</xdr:rowOff>
    </xdr:from>
    <xdr:to>
      <xdr:col>20</xdr:col>
      <xdr:colOff>454270</xdr:colOff>
      <xdr:row>109</xdr:row>
      <xdr:rowOff>95250</xdr:rowOff>
    </xdr:to>
    <xdr:sp macro="" textlink="">
      <xdr:nvSpPr>
        <xdr:cNvPr id="5" name="TextBox 19"/>
        <xdr:cNvSpPr txBox="1"/>
      </xdr:nvSpPr>
      <xdr:spPr>
        <a:xfrm>
          <a:off x="6477000" y="18976732"/>
          <a:ext cx="3004039" cy="2784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100"/>
            <a:t>ภ.2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ปีงบประมาณ 2564  (งวดที่ 1 ไตรมาส 1-2)</a:t>
          </a:r>
          <a:endParaRPr lang="th-TH" sz="1100"/>
        </a:p>
      </xdr:txBody>
    </xdr:sp>
    <xdr:clientData/>
  </xdr:twoCellAnchor>
  <xdr:twoCellAnchor>
    <xdr:from>
      <xdr:col>14</xdr:col>
      <xdr:colOff>124557</xdr:colOff>
      <xdr:row>144</xdr:row>
      <xdr:rowOff>7328</xdr:rowOff>
    </xdr:from>
    <xdr:to>
      <xdr:col>20</xdr:col>
      <xdr:colOff>439618</xdr:colOff>
      <xdr:row>145</xdr:row>
      <xdr:rowOff>102578</xdr:rowOff>
    </xdr:to>
    <xdr:sp macro="" textlink="">
      <xdr:nvSpPr>
        <xdr:cNvPr id="6" name="TextBox 20"/>
        <xdr:cNvSpPr txBox="1"/>
      </xdr:nvSpPr>
      <xdr:spPr>
        <a:xfrm>
          <a:off x="6337788" y="25307193"/>
          <a:ext cx="3128599" cy="2564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100"/>
            <a:t>ภ.3</a:t>
          </a:r>
          <a:r>
            <a:rPr lang="en-US" sz="1100"/>
            <a:t>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ปีงบประมาณ 2564   (งวดที่ 1 ไตรมาส 1-2)</a:t>
          </a:r>
          <a:endParaRPr lang="th-TH" sz="1100"/>
        </a:p>
      </xdr:txBody>
    </xdr:sp>
    <xdr:clientData/>
  </xdr:twoCellAnchor>
  <xdr:twoCellAnchor>
    <xdr:from>
      <xdr:col>14</xdr:col>
      <xdr:colOff>65942</xdr:colOff>
      <xdr:row>181</xdr:row>
      <xdr:rowOff>14652</xdr:rowOff>
    </xdr:from>
    <xdr:to>
      <xdr:col>20</xdr:col>
      <xdr:colOff>439617</xdr:colOff>
      <xdr:row>182</xdr:row>
      <xdr:rowOff>87922</xdr:rowOff>
    </xdr:to>
    <xdr:sp macro="" textlink="">
      <xdr:nvSpPr>
        <xdr:cNvPr id="7" name="TextBox 21"/>
        <xdr:cNvSpPr txBox="1"/>
      </xdr:nvSpPr>
      <xdr:spPr>
        <a:xfrm>
          <a:off x="6279173" y="31615671"/>
          <a:ext cx="3187213" cy="2344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100"/>
            <a:t>ภ.4</a:t>
          </a:r>
          <a:r>
            <a:rPr lang="en-US" sz="1100"/>
            <a:t>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ปีงบประมาณ 2564   </a:t>
          </a:r>
          <a:r>
            <a:rPr lang="th-TH" sz="1100"/>
            <a:t>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(งวดที่ 1 ไตรมาส 1-2)</a:t>
          </a:r>
          <a:endParaRPr lang="th-TH" sz="1100"/>
        </a:p>
      </xdr:txBody>
    </xdr:sp>
    <xdr:clientData/>
  </xdr:twoCellAnchor>
  <xdr:twoCellAnchor>
    <xdr:from>
      <xdr:col>14</xdr:col>
      <xdr:colOff>344365</xdr:colOff>
      <xdr:row>218</xdr:row>
      <xdr:rowOff>0</xdr:rowOff>
    </xdr:from>
    <xdr:to>
      <xdr:col>20</xdr:col>
      <xdr:colOff>468925</xdr:colOff>
      <xdr:row>219</xdr:row>
      <xdr:rowOff>87923</xdr:rowOff>
    </xdr:to>
    <xdr:sp macro="" textlink="">
      <xdr:nvSpPr>
        <xdr:cNvPr id="8" name="TextBox 22"/>
        <xdr:cNvSpPr txBox="1"/>
      </xdr:nvSpPr>
      <xdr:spPr>
        <a:xfrm>
          <a:off x="6557596" y="37894846"/>
          <a:ext cx="2938098" cy="2491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100"/>
            <a:t>ภ.5</a:t>
          </a:r>
          <a:r>
            <a:rPr lang="en-US" sz="1100"/>
            <a:t>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ปีงบประมาณ 2564   (งวดที่ 1 ไตรมาส 1-2)</a:t>
          </a:r>
          <a:endParaRPr lang="th-TH" sz="1100"/>
        </a:p>
      </xdr:txBody>
    </xdr:sp>
    <xdr:clientData/>
  </xdr:twoCellAnchor>
  <xdr:twoCellAnchor>
    <xdr:from>
      <xdr:col>14</xdr:col>
      <xdr:colOff>212481</xdr:colOff>
      <xdr:row>254</xdr:row>
      <xdr:rowOff>14654</xdr:rowOff>
    </xdr:from>
    <xdr:to>
      <xdr:col>20</xdr:col>
      <xdr:colOff>461599</xdr:colOff>
      <xdr:row>255</xdr:row>
      <xdr:rowOff>87923</xdr:rowOff>
    </xdr:to>
    <xdr:sp macro="" textlink="">
      <xdr:nvSpPr>
        <xdr:cNvPr id="9" name="TextBox 23"/>
        <xdr:cNvSpPr txBox="1"/>
      </xdr:nvSpPr>
      <xdr:spPr>
        <a:xfrm>
          <a:off x="6425712" y="44210654"/>
          <a:ext cx="3062656" cy="2344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100"/>
            <a:t>ภ.6</a:t>
          </a:r>
          <a:r>
            <a:rPr lang="en-US" sz="1100"/>
            <a:t>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ปีงบประมาณ 2564   </a:t>
          </a:r>
          <a:r>
            <a:rPr lang="th-TH" sz="1100"/>
            <a:t>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(งวดที่ 1 ไตรมาส 1-2)</a:t>
          </a:r>
          <a:endParaRPr lang="th-TH" sz="1100"/>
        </a:p>
      </xdr:txBody>
    </xdr:sp>
    <xdr:clientData/>
  </xdr:twoCellAnchor>
  <xdr:twoCellAnchor>
    <xdr:from>
      <xdr:col>14</xdr:col>
      <xdr:colOff>153865</xdr:colOff>
      <xdr:row>291</xdr:row>
      <xdr:rowOff>139212</xdr:rowOff>
    </xdr:from>
    <xdr:to>
      <xdr:col>20</xdr:col>
      <xdr:colOff>476252</xdr:colOff>
      <xdr:row>293</xdr:row>
      <xdr:rowOff>87923</xdr:rowOff>
    </xdr:to>
    <xdr:sp macro="" textlink="">
      <xdr:nvSpPr>
        <xdr:cNvPr id="10" name="TextBox 24"/>
        <xdr:cNvSpPr txBox="1"/>
      </xdr:nvSpPr>
      <xdr:spPr>
        <a:xfrm>
          <a:off x="6367096" y="50636366"/>
          <a:ext cx="3135925" cy="2710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100"/>
            <a:t>ภ.7</a:t>
          </a:r>
          <a:r>
            <a:rPr lang="en-US" sz="1100"/>
            <a:t>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ปีงบประมาณ 2564   </a:t>
          </a:r>
          <a:r>
            <a:rPr lang="th-TH" sz="1100"/>
            <a:t>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(งวดที่ 1 ไตรมาส 1-2)</a:t>
          </a:r>
          <a:endParaRPr lang="th-TH" sz="1100"/>
        </a:p>
      </xdr:txBody>
    </xdr:sp>
    <xdr:clientData/>
  </xdr:twoCellAnchor>
  <xdr:twoCellAnchor>
    <xdr:from>
      <xdr:col>14</xdr:col>
      <xdr:colOff>0</xdr:colOff>
      <xdr:row>329</xdr:row>
      <xdr:rowOff>1</xdr:rowOff>
    </xdr:from>
    <xdr:to>
      <xdr:col>20</xdr:col>
      <xdr:colOff>432291</xdr:colOff>
      <xdr:row>330</xdr:row>
      <xdr:rowOff>139211</xdr:rowOff>
    </xdr:to>
    <xdr:sp macro="" textlink="">
      <xdr:nvSpPr>
        <xdr:cNvPr id="11" name="TextBox 25"/>
        <xdr:cNvSpPr txBox="1"/>
      </xdr:nvSpPr>
      <xdr:spPr>
        <a:xfrm>
          <a:off x="6213231" y="56798309"/>
          <a:ext cx="3245829" cy="3004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100"/>
            <a:t>ภ.8 </a:t>
          </a:r>
          <a:r>
            <a:rPr lang="en-US" sz="1100"/>
            <a:t>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ปีงบประมาณ 2564   (งวดที่ 1 ไตรมาส 1-2)</a:t>
          </a:r>
          <a:endParaRPr lang="th-TH" sz="1100"/>
        </a:p>
      </xdr:txBody>
    </xdr:sp>
    <xdr:clientData/>
  </xdr:twoCellAnchor>
  <xdr:twoCellAnchor>
    <xdr:from>
      <xdr:col>14</xdr:col>
      <xdr:colOff>153866</xdr:colOff>
      <xdr:row>366</xdr:row>
      <xdr:rowOff>21980</xdr:rowOff>
    </xdr:from>
    <xdr:to>
      <xdr:col>20</xdr:col>
      <xdr:colOff>454272</xdr:colOff>
      <xdr:row>367</xdr:row>
      <xdr:rowOff>117230</xdr:rowOff>
    </xdr:to>
    <xdr:sp macro="" textlink="">
      <xdr:nvSpPr>
        <xdr:cNvPr id="12" name="TextBox 26"/>
        <xdr:cNvSpPr txBox="1"/>
      </xdr:nvSpPr>
      <xdr:spPr>
        <a:xfrm>
          <a:off x="6367097" y="63121442"/>
          <a:ext cx="3113944" cy="2564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100"/>
            <a:t>ภ.9 </a:t>
          </a:r>
          <a:r>
            <a:rPr lang="en-US" sz="1100"/>
            <a:t>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ปีงบประมาณ 2564   (งวดที่ 1 ไตรมาส 1-2)</a:t>
          </a:r>
          <a:endParaRPr lang="th-TH" sz="1100"/>
        </a:p>
      </xdr:txBody>
    </xdr:sp>
    <xdr:clientData/>
  </xdr:twoCellAnchor>
  <xdr:twoCellAnchor>
    <xdr:from>
      <xdr:col>13</xdr:col>
      <xdr:colOff>139212</xdr:colOff>
      <xdr:row>403</xdr:row>
      <xdr:rowOff>58615</xdr:rowOff>
    </xdr:from>
    <xdr:to>
      <xdr:col>20</xdr:col>
      <xdr:colOff>476252</xdr:colOff>
      <xdr:row>404</xdr:row>
      <xdr:rowOff>95250</xdr:rowOff>
    </xdr:to>
    <xdr:sp macro="" textlink="">
      <xdr:nvSpPr>
        <xdr:cNvPr id="13" name="TextBox 28"/>
        <xdr:cNvSpPr txBox="1"/>
      </xdr:nvSpPr>
      <xdr:spPr>
        <a:xfrm>
          <a:off x="5905500" y="69298038"/>
          <a:ext cx="3597521" cy="1978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100"/>
            <a:t>บช.ก.(รฟ.)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ปีงบประมาณ 2563   </a:t>
          </a:r>
          <a:r>
            <a:rPr lang="th-TH" sz="1100"/>
            <a:t>(งวดที่ 1 ไตรมาส 1-2)</a:t>
          </a:r>
        </a:p>
      </xdr:txBody>
    </xdr:sp>
    <xdr:clientData/>
  </xdr:twoCellAnchor>
  <xdr:twoCellAnchor>
    <xdr:from>
      <xdr:col>14</xdr:col>
      <xdr:colOff>183173</xdr:colOff>
      <xdr:row>439</xdr:row>
      <xdr:rowOff>80597</xdr:rowOff>
    </xdr:from>
    <xdr:to>
      <xdr:col>20</xdr:col>
      <xdr:colOff>490905</xdr:colOff>
      <xdr:row>440</xdr:row>
      <xdr:rowOff>117232</xdr:rowOff>
    </xdr:to>
    <xdr:sp macro="" textlink="">
      <xdr:nvSpPr>
        <xdr:cNvPr id="14" name="TextBox 29"/>
        <xdr:cNvSpPr txBox="1"/>
      </xdr:nvSpPr>
      <xdr:spPr>
        <a:xfrm>
          <a:off x="6396404" y="75804347"/>
          <a:ext cx="3121270" cy="1978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100"/>
            <a:t>รพ.ตร.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ปีงบประมาณ 2564   (งวดที่ 1 ไตรมาส 1-2)</a:t>
          </a:r>
          <a:endParaRPr lang="th-TH" sz="1100"/>
        </a:p>
      </xdr:txBody>
    </xdr:sp>
    <xdr:clientData/>
  </xdr:twoCellAnchor>
  <xdr:twoCellAnchor>
    <xdr:from>
      <xdr:col>13</xdr:col>
      <xdr:colOff>153866</xdr:colOff>
      <xdr:row>476</xdr:row>
      <xdr:rowOff>109904</xdr:rowOff>
    </xdr:from>
    <xdr:to>
      <xdr:col>20</xdr:col>
      <xdr:colOff>476251</xdr:colOff>
      <xdr:row>478</xdr:row>
      <xdr:rowOff>80597</xdr:rowOff>
    </xdr:to>
    <xdr:sp macro="" textlink="">
      <xdr:nvSpPr>
        <xdr:cNvPr id="15" name="TextBox 30"/>
        <xdr:cNvSpPr txBox="1"/>
      </xdr:nvSpPr>
      <xdr:spPr>
        <a:xfrm>
          <a:off x="5920154" y="82054212"/>
          <a:ext cx="3582866" cy="2930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100"/>
            <a:t>สยศ.ตร.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ปีงบประมาณ 2564   </a:t>
          </a:r>
          <a:r>
            <a:rPr lang="th-TH" sz="1100"/>
            <a:t>(งวดที่ 1 ไตรมาส 1-2)</a:t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20</xdr:col>
      <xdr:colOff>498231</xdr:colOff>
      <xdr:row>31</xdr:row>
      <xdr:rowOff>186836</xdr:rowOff>
    </xdr:to>
    <xdr:sp macro="" textlink="">
      <xdr:nvSpPr>
        <xdr:cNvPr id="35" name="TextBox 45"/>
        <xdr:cNvSpPr txBox="1"/>
      </xdr:nvSpPr>
      <xdr:spPr>
        <a:xfrm>
          <a:off x="7605346" y="4608635"/>
          <a:ext cx="1919654" cy="11393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ตรวจแล้วถูกต้อง</a:t>
          </a:r>
        </a:p>
        <a:p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พ.ต.ท.หญิง</a:t>
          </a: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(บุศรา   น้อยมหาวัย</a:t>
          </a:r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รอง ผกก.ฯ ปรท.ผกก.สร.ผอ.</a:t>
          </a:r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17</xdr:col>
      <xdr:colOff>0</xdr:colOff>
      <xdr:row>58</xdr:row>
      <xdr:rowOff>0</xdr:rowOff>
    </xdr:from>
    <xdr:to>
      <xdr:col>20</xdr:col>
      <xdr:colOff>498231</xdr:colOff>
      <xdr:row>64</xdr:row>
      <xdr:rowOff>40297</xdr:rowOff>
    </xdr:to>
    <xdr:sp macro="" textlink="">
      <xdr:nvSpPr>
        <xdr:cNvPr id="36" name="TextBox 45"/>
        <xdr:cNvSpPr txBox="1"/>
      </xdr:nvSpPr>
      <xdr:spPr>
        <a:xfrm>
          <a:off x="7605346" y="10367596"/>
          <a:ext cx="1919654" cy="11393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ตรวจแล้วถูกต้อง</a:t>
          </a:r>
        </a:p>
        <a:p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พ.ต.ท.หญิง</a:t>
          </a: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(บุศรา   น้อยมหาวัย</a:t>
          </a:r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รอง ผกก.ฯ ปรท.ผกก.สร.ผอ.</a:t>
          </a:r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17</xdr:col>
      <xdr:colOff>0</xdr:colOff>
      <xdr:row>98</xdr:row>
      <xdr:rowOff>0</xdr:rowOff>
    </xdr:from>
    <xdr:to>
      <xdr:col>20</xdr:col>
      <xdr:colOff>498231</xdr:colOff>
      <xdr:row>104</xdr:row>
      <xdr:rowOff>150202</xdr:rowOff>
    </xdr:to>
    <xdr:sp macro="" textlink="">
      <xdr:nvSpPr>
        <xdr:cNvPr id="37" name="TextBox 45"/>
        <xdr:cNvSpPr txBox="1"/>
      </xdr:nvSpPr>
      <xdr:spPr>
        <a:xfrm>
          <a:off x="7605346" y="17452731"/>
          <a:ext cx="1919654" cy="11393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ตรวจแล้วถูกต้อง</a:t>
          </a:r>
        </a:p>
        <a:p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พ.ต.ท.หญิง</a:t>
          </a: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(บุศรา   น้อยมหาวัย</a:t>
          </a:r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รอง ผกก.ฯ ปรท.ผกก.สร.ผอ.</a:t>
          </a:r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17</xdr:col>
      <xdr:colOff>0</xdr:colOff>
      <xdr:row>134</xdr:row>
      <xdr:rowOff>0</xdr:rowOff>
    </xdr:from>
    <xdr:to>
      <xdr:col>20</xdr:col>
      <xdr:colOff>498231</xdr:colOff>
      <xdr:row>140</xdr:row>
      <xdr:rowOff>150201</xdr:rowOff>
    </xdr:to>
    <xdr:sp macro="" textlink="">
      <xdr:nvSpPr>
        <xdr:cNvPr id="38" name="TextBox 45"/>
        <xdr:cNvSpPr txBox="1"/>
      </xdr:nvSpPr>
      <xdr:spPr>
        <a:xfrm>
          <a:off x="7605346" y="23592692"/>
          <a:ext cx="1919654" cy="11393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ตรวจแล้วถูกต้อง</a:t>
          </a:r>
        </a:p>
        <a:p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พ.ต.ท.หญิง</a:t>
          </a: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(บุศรา   น้อยมหาวัย</a:t>
          </a:r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รอง ผกก.ฯ ปรท.ผกก.สร.ผอ.</a:t>
          </a:r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17</xdr:col>
      <xdr:colOff>0</xdr:colOff>
      <xdr:row>171</xdr:row>
      <xdr:rowOff>0</xdr:rowOff>
    </xdr:from>
    <xdr:to>
      <xdr:col>20</xdr:col>
      <xdr:colOff>498231</xdr:colOff>
      <xdr:row>178</xdr:row>
      <xdr:rowOff>10990</xdr:rowOff>
    </xdr:to>
    <xdr:sp macro="" textlink="">
      <xdr:nvSpPr>
        <xdr:cNvPr id="39" name="TextBox 45"/>
        <xdr:cNvSpPr txBox="1"/>
      </xdr:nvSpPr>
      <xdr:spPr>
        <a:xfrm>
          <a:off x="7605346" y="29915827"/>
          <a:ext cx="1919654" cy="11393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ตรวจแล้วถูกต้อง</a:t>
          </a:r>
        </a:p>
        <a:p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พ.ต.ท.หญิง</a:t>
          </a: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(บุศรา   น้อยมหาวัย</a:t>
          </a:r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รอง ผกก.ฯ ปรท.ผกก.สร.ผอ.</a:t>
          </a:r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16</xdr:col>
      <xdr:colOff>461596</xdr:colOff>
      <xdr:row>207</xdr:row>
      <xdr:rowOff>65942</xdr:rowOff>
    </xdr:from>
    <xdr:to>
      <xdr:col>20</xdr:col>
      <xdr:colOff>490904</xdr:colOff>
      <xdr:row>213</xdr:row>
      <xdr:rowOff>106240</xdr:rowOff>
    </xdr:to>
    <xdr:sp macro="" textlink="">
      <xdr:nvSpPr>
        <xdr:cNvPr id="40" name="TextBox 45"/>
        <xdr:cNvSpPr txBox="1"/>
      </xdr:nvSpPr>
      <xdr:spPr>
        <a:xfrm>
          <a:off x="7598019" y="36253615"/>
          <a:ext cx="1919654" cy="11759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ตรวจแล้วถูกต้อง</a:t>
          </a:r>
        </a:p>
        <a:p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พ.ต.ท.หญิง</a:t>
          </a: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(บุศรา   น้อยมหาวัย</a:t>
          </a:r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รอง ผกก.ฯ ปรท.ผกก.สร.ผอ.</a:t>
          </a:r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17</xdr:col>
      <xdr:colOff>0</xdr:colOff>
      <xdr:row>244</xdr:row>
      <xdr:rowOff>0</xdr:rowOff>
    </xdr:from>
    <xdr:to>
      <xdr:col>20</xdr:col>
      <xdr:colOff>498231</xdr:colOff>
      <xdr:row>250</xdr:row>
      <xdr:rowOff>150201</xdr:rowOff>
    </xdr:to>
    <xdr:sp macro="" textlink="">
      <xdr:nvSpPr>
        <xdr:cNvPr id="41" name="TextBox 45"/>
        <xdr:cNvSpPr txBox="1"/>
      </xdr:nvSpPr>
      <xdr:spPr>
        <a:xfrm>
          <a:off x="7605346" y="42488827"/>
          <a:ext cx="1919654" cy="11393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ตรวจแล้วถูกต้อง</a:t>
          </a:r>
        </a:p>
        <a:p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พ.ต.ท.หญิง</a:t>
          </a: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(บุศรา   น้อยมหาวัย</a:t>
          </a:r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รอง ผกก.ฯ ปรท.ผกก.สร.ผอ.</a:t>
          </a:r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17</xdr:col>
      <xdr:colOff>0</xdr:colOff>
      <xdr:row>280</xdr:row>
      <xdr:rowOff>0</xdr:rowOff>
    </xdr:from>
    <xdr:to>
      <xdr:col>20</xdr:col>
      <xdr:colOff>498231</xdr:colOff>
      <xdr:row>286</xdr:row>
      <xdr:rowOff>128221</xdr:rowOff>
    </xdr:to>
    <xdr:sp macro="" textlink="">
      <xdr:nvSpPr>
        <xdr:cNvPr id="42" name="TextBox 45"/>
        <xdr:cNvSpPr txBox="1"/>
      </xdr:nvSpPr>
      <xdr:spPr>
        <a:xfrm>
          <a:off x="7605346" y="48606808"/>
          <a:ext cx="1919654" cy="11393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ตรวจแล้วถูกต้อง</a:t>
          </a:r>
        </a:p>
        <a:p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พ.ต.ท.หญิง</a:t>
          </a: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(บุศรา   น้อยมหาวัย</a:t>
          </a:r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รอง ผกก.ฯ ปรท.ผกก.สร.ผอ.</a:t>
          </a:r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17</xdr:col>
      <xdr:colOff>0</xdr:colOff>
      <xdr:row>317</xdr:row>
      <xdr:rowOff>0</xdr:rowOff>
    </xdr:from>
    <xdr:to>
      <xdr:col>20</xdr:col>
      <xdr:colOff>498231</xdr:colOff>
      <xdr:row>323</xdr:row>
      <xdr:rowOff>128221</xdr:rowOff>
    </xdr:to>
    <xdr:sp macro="" textlink="">
      <xdr:nvSpPr>
        <xdr:cNvPr id="43" name="TextBox 45"/>
        <xdr:cNvSpPr txBox="1"/>
      </xdr:nvSpPr>
      <xdr:spPr>
        <a:xfrm>
          <a:off x="7605346" y="54907962"/>
          <a:ext cx="1919654" cy="11393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ตรวจแล้วถูกต้อง</a:t>
          </a:r>
        </a:p>
        <a:p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พ.ต.ท.หญิง</a:t>
          </a: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(บุศรา   น้อยมหาวัย</a:t>
          </a:r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รอง ผกก.ฯ ปรท.ผกก.สร.ผอ.</a:t>
          </a:r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17</xdr:col>
      <xdr:colOff>0</xdr:colOff>
      <xdr:row>354</xdr:row>
      <xdr:rowOff>183173</xdr:rowOff>
    </xdr:from>
    <xdr:to>
      <xdr:col>20</xdr:col>
      <xdr:colOff>498231</xdr:colOff>
      <xdr:row>361</xdr:row>
      <xdr:rowOff>150201</xdr:rowOff>
    </xdr:to>
    <xdr:sp macro="" textlink="">
      <xdr:nvSpPr>
        <xdr:cNvPr id="44" name="TextBox 45"/>
        <xdr:cNvSpPr txBox="1"/>
      </xdr:nvSpPr>
      <xdr:spPr>
        <a:xfrm>
          <a:off x="7605346" y="61392288"/>
          <a:ext cx="1919654" cy="11393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ตรวจแล้วถูกต้อง</a:t>
          </a:r>
        </a:p>
        <a:p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พ.ต.ท.หญิง</a:t>
          </a: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(บุศรา   น้อยมหาวัย</a:t>
          </a:r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รอง ผกก.ฯ ปรท.ผกก.สร.ผอ.</a:t>
          </a:r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17</xdr:col>
      <xdr:colOff>0</xdr:colOff>
      <xdr:row>391</xdr:row>
      <xdr:rowOff>0</xdr:rowOff>
    </xdr:from>
    <xdr:to>
      <xdr:col>20</xdr:col>
      <xdr:colOff>498231</xdr:colOff>
      <xdr:row>397</xdr:row>
      <xdr:rowOff>128220</xdr:rowOff>
    </xdr:to>
    <xdr:sp macro="" textlink="">
      <xdr:nvSpPr>
        <xdr:cNvPr id="45" name="TextBox 45"/>
        <xdr:cNvSpPr txBox="1"/>
      </xdr:nvSpPr>
      <xdr:spPr>
        <a:xfrm>
          <a:off x="7605346" y="67510269"/>
          <a:ext cx="1919654" cy="11393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ตรวจแล้วถูกต้อง</a:t>
          </a:r>
        </a:p>
        <a:p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พ.ต.ท.หญิง</a:t>
          </a: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(บุศรา   น้อยมหาวัย</a:t>
          </a:r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รอง ผกก.ฯ ปรท.ผกก.สร.ผอ.</a:t>
          </a:r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17</xdr:col>
      <xdr:colOff>0</xdr:colOff>
      <xdr:row>413</xdr:row>
      <xdr:rowOff>0</xdr:rowOff>
    </xdr:from>
    <xdr:to>
      <xdr:col>20</xdr:col>
      <xdr:colOff>498231</xdr:colOff>
      <xdr:row>417</xdr:row>
      <xdr:rowOff>172182</xdr:rowOff>
    </xdr:to>
    <xdr:sp macro="" textlink="">
      <xdr:nvSpPr>
        <xdr:cNvPr id="46" name="TextBox 45"/>
        <xdr:cNvSpPr txBox="1"/>
      </xdr:nvSpPr>
      <xdr:spPr>
        <a:xfrm>
          <a:off x="7605346" y="71217692"/>
          <a:ext cx="1919654" cy="11393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ตรวจแล้วถูกต้อง</a:t>
          </a:r>
        </a:p>
        <a:p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พ.ต.ท.หญิง</a:t>
          </a: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(บุศรา   น้อยมหาวัย</a:t>
          </a:r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รอง ผกก.ฯ ปรท.ผกก.สร.ผอ.</a:t>
          </a:r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17</xdr:col>
      <xdr:colOff>0</xdr:colOff>
      <xdr:row>447</xdr:row>
      <xdr:rowOff>0</xdr:rowOff>
    </xdr:from>
    <xdr:to>
      <xdr:col>20</xdr:col>
      <xdr:colOff>498231</xdr:colOff>
      <xdr:row>454</xdr:row>
      <xdr:rowOff>10990</xdr:rowOff>
    </xdr:to>
    <xdr:sp macro="" textlink="">
      <xdr:nvSpPr>
        <xdr:cNvPr id="47" name="TextBox 45"/>
        <xdr:cNvSpPr txBox="1"/>
      </xdr:nvSpPr>
      <xdr:spPr>
        <a:xfrm>
          <a:off x="7605346" y="77196462"/>
          <a:ext cx="1919654" cy="11393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ตรวจแล้วถูกต้อง</a:t>
          </a:r>
        </a:p>
        <a:p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พ.ต.ท.หญิง</a:t>
          </a: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(บุศรา   น้อยมหาวัย</a:t>
          </a:r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รอง ผกก.ฯ ปรท.ผกก.สร.ผอ.</a:t>
          </a:r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17</xdr:col>
      <xdr:colOff>0</xdr:colOff>
      <xdr:row>486</xdr:row>
      <xdr:rowOff>0</xdr:rowOff>
    </xdr:from>
    <xdr:to>
      <xdr:col>20</xdr:col>
      <xdr:colOff>498231</xdr:colOff>
      <xdr:row>493</xdr:row>
      <xdr:rowOff>10990</xdr:rowOff>
    </xdr:to>
    <xdr:sp macro="" textlink="">
      <xdr:nvSpPr>
        <xdr:cNvPr id="48" name="TextBox 45"/>
        <xdr:cNvSpPr txBox="1"/>
      </xdr:nvSpPr>
      <xdr:spPr>
        <a:xfrm>
          <a:off x="7605346" y="83578212"/>
          <a:ext cx="1919654" cy="11393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ตรวจแล้วถูกต้อง</a:t>
          </a:r>
        </a:p>
        <a:p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พ.ต.ท.หญิง</a:t>
          </a: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(บุศรา   น้อยมหาวัย</a:t>
          </a:r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รอง ผกก.ฯ ปรท.ผกก.สร.ผอ.</a:t>
          </a:r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410308</xdr:colOff>
      <xdr:row>0</xdr:row>
      <xdr:rowOff>87923</xdr:rowOff>
    </xdr:from>
    <xdr:to>
      <xdr:col>20</xdr:col>
      <xdr:colOff>520212</xdr:colOff>
      <xdr:row>1</xdr:row>
      <xdr:rowOff>227136</xdr:rowOff>
    </xdr:to>
    <xdr:sp macro="" textlink="">
      <xdr:nvSpPr>
        <xdr:cNvPr id="2" name="TextBox 16"/>
        <xdr:cNvSpPr txBox="1"/>
      </xdr:nvSpPr>
      <xdr:spPr>
        <a:xfrm>
          <a:off x="8015654" y="87923"/>
          <a:ext cx="1531327" cy="3004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100"/>
            <a:t>งวดที่ 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/>
            <a:t> ไตรมาส </a:t>
          </a:r>
          <a:r>
            <a:rPr lang="en-US" sz="1100">
              <a:latin typeface="Tahoma" panose="020B0604030504040204" pitchFamily="34" charset="0"/>
              <a:cs typeface="Tahoma" panose="020B0604030504040204" pitchFamily="34" charset="0"/>
            </a:rPr>
            <a:t>3</a:t>
          </a:r>
          <a:r>
            <a:rPr lang="th-TH" sz="1100"/>
            <a:t>-</a:t>
          </a:r>
          <a:r>
            <a:rPr lang="en-US" sz="1100">
              <a:solidFill>
                <a:schemeClr val="dk1"/>
              </a:solidFill>
              <a:effectLst/>
              <a:latin typeface="Tahoma" panose="020B0604030504040204" pitchFamily="34" charset="0"/>
              <a:ea typeface="+mn-ea"/>
              <a:cs typeface="Tahoma" panose="020B0604030504040204" pitchFamily="34" charset="0"/>
            </a:rPr>
            <a:t>4</a:t>
          </a:r>
          <a:endParaRPr lang="th-TH" sz="1100">
            <a:latin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13</xdr:col>
      <xdr:colOff>388327</xdr:colOff>
      <xdr:row>34</xdr:row>
      <xdr:rowOff>43960</xdr:rowOff>
    </xdr:from>
    <xdr:to>
      <xdr:col>20</xdr:col>
      <xdr:colOff>454270</xdr:colOff>
      <xdr:row>35</xdr:row>
      <xdr:rowOff>102576</xdr:rowOff>
    </xdr:to>
    <xdr:sp macro="" textlink="">
      <xdr:nvSpPr>
        <xdr:cNvPr id="3" name="TextBox 17"/>
        <xdr:cNvSpPr txBox="1"/>
      </xdr:nvSpPr>
      <xdr:spPr>
        <a:xfrm>
          <a:off x="6154615" y="6271845"/>
          <a:ext cx="3326424" cy="2491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100"/>
            <a:t>บช.น.</a:t>
          </a:r>
          <a:r>
            <a:rPr lang="en-US" sz="1100"/>
            <a:t>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ปีงบประมาณ 2564 </a:t>
          </a:r>
          <a:r>
            <a:rPr lang="th-TH" sz="1100"/>
            <a:t>(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งวดที่ 2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ไตรมาส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h-TH" sz="1100"/>
            <a:t>)</a:t>
          </a:r>
        </a:p>
      </xdr:txBody>
    </xdr:sp>
    <xdr:clientData/>
  </xdr:twoCellAnchor>
  <xdr:twoCellAnchor>
    <xdr:from>
      <xdr:col>14</xdr:col>
      <xdr:colOff>161192</xdr:colOff>
      <xdr:row>71</xdr:row>
      <xdr:rowOff>0</xdr:rowOff>
    </xdr:from>
    <xdr:to>
      <xdr:col>20</xdr:col>
      <xdr:colOff>454272</xdr:colOff>
      <xdr:row>72</xdr:row>
      <xdr:rowOff>95249</xdr:rowOff>
    </xdr:to>
    <xdr:sp macro="" textlink="">
      <xdr:nvSpPr>
        <xdr:cNvPr id="4" name="TextBox 18"/>
        <xdr:cNvSpPr txBox="1"/>
      </xdr:nvSpPr>
      <xdr:spPr>
        <a:xfrm>
          <a:off x="6374423" y="12829442"/>
          <a:ext cx="3106618" cy="2564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100"/>
            <a:t>ภ.1</a:t>
          </a:r>
          <a:r>
            <a:rPr lang="en-US" sz="1100"/>
            <a:t>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ปีงบประมาณ 2564  </a:t>
          </a:r>
          <a:r>
            <a:rPr lang="th-TH" sz="1100"/>
            <a:t>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(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งวดที่ 2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ไตรมาส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)</a:t>
          </a:r>
          <a:endParaRPr lang="th-TH" sz="1100"/>
        </a:p>
      </xdr:txBody>
    </xdr:sp>
    <xdr:clientData/>
  </xdr:twoCellAnchor>
  <xdr:twoCellAnchor>
    <xdr:from>
      <xdr:col>14</xdr:col>
      <xdr:colOff>153865</xdr:colOff>
      <xdr:row>107</xdr:row>
      <xdr:rowOff>139213</xdr:rowOff>
    </xdr:from>
    <xdr:to>
      <xdr:col>20</xdr:col>
      <xdr:colOff>454270</xdr:colOff>
      <xdr:row>109</xdr:row>
      <xdr:rowOff>95250</xdr:rowOff>
    </xdr:to>
    <xdr:sp macro="" textlink="">
      <xdr:nvSpPr>
        <xdr:cNvPr id="5" name="TextBox 19"/>
        <xdr:cNvSpPr txBox="1"/>
      </xdr:nvSpPr>
      <xdr:spPr>
        <a:xfrm>
          <a:off x="6367096" y="19167232"/>
          <a:ext cx="3113943" cy="2784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100"/>
            <a:t>ภ.2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ปีงบประมาณ 2564  (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งวดที่ 2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ไตรมาส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)</a:t>
          </a:r>
          <a:endParaRPr lang="th-TH" sz="1100"/>
        </a:p>
      </xdr:txBody>
    </xdr:sp>
    <xdr:clientData/>
  </xdr:twoCellAnchor>
  <xdr:twoCellAnchor>
    <xdr:from>
      <xdr:col>13</xdr:col>
      <xdr:colOff>388328</xdr:colOff>
      <xdr:row>144</xdr:row>
      <xdr:rowOff>7328</xdr:rowOff>
    </xdr:from>
    <xdr:to>
      <xdr:col>20</xdr:col>
      <xdr:colOff>373673</xdr:colOff>
      <xdr:row>145</xdr:row>
      <xdr:rowOff>102578</xdr:rowOff>
    </xdr:to>
    <xdr:sp macro="" textlink="">
      <xdr:nvSpPr>
        <xdr:cNvPr id="6" name="TextBox 20"/>
        <xdr:cNvSpPr txBox="1"/>
      </xdr:nvSpPr>
      <xdr:spPr>
        <a:xfrm>
          <a:off x="6154616" y="25395116"/>
          <a:ext cx="3245826" cy="2564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100"/>
            <a:t>ภ.3</a:t>
          </a:r>
          <a:r>
            <a:rPr lang="en-US" sz="1100"/>
            <a:t>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ปีงบประมาณ 2564   (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งวดที่ 2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ไตรมาส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)</a:t>
          </a:r>
          <a:endParaRPr lang="th-TH" sz="1100"/>
        </a:p>
      </xdr:txBody>
    </xdr:sp>
    <xdr:clientData/>
  </xdr:twoCellAnchor>
  <xdr:twoCellAnchor>
    <xdr:from>
      <xdr:col>14</xdr:col>
      <xdr:colOff>36634</xdr:colOff>
      <xdr:row>181</xdr:row>
      <xdr:rowOff>14652</xdr:rowOff>
    </xdr:from>
    <xdr:to>
      <xdr:col>20</xdr:col>
      <xdr:colOff>439617</xdr:colOff>
      <xdr:row>182</xdr:row>
      <xdr:rowOff>87922</xdr:rowOff>
    </xdr:to>
    <xdr:sp macro="" textlink="">
      <xdr:nvSpPr>
        <xdr:cNvPr id="7" name="TextBox 21"/>
        <xdr:cNvSpPr txBox="1"/>
      </xdr:nvSpPr>
      <xdr:spPr>
        <a:xfrm>
          <a:off x="6249865" y="31762210"/>
          <a:ext cx="3216521" cy="2344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100"/>
            <a:t>ภ.4</a:t>
          </a:r>
          <a:r>
            <a:rPr lang="en-US" sz="1100"/>
            <a:t>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ปีงบประมาณ 2564   </a:t>
          </a:r>
          <a:r>
            <a:rPr lang="th-TH" sz="1100"/>
            <a:t>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(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งวดที่ 2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ไตรมาส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)</a:t>
          </a:r>
          <a:endParaRPr lang="th-TH" sz="1100"/>
        </a:p>
      </xdr:txBody>
    </xdr:sp>
    <xdr:clientData/>
  </xdr:twoCellAnchor>
  <xdr:twoCellAnchor>
    <xdr:from>
      <xdr:col>14</xdr:col>
      <xdr:colOff>212481</xdr:colOff>
      <xdr:row>218</xdr:row>
      <xdr:rowOff>0</xdr:rowOff>
    </xdr:from>
    <xdr:to>
      <xdr:col>20</xdr:col>
      <xdr:colOff>468925</xdr:colOff>
      <xdr:row>219</xdr:row>
      <xdr:rowOff>87923</xdr:rowOff>
    </xdr:to>
    <xdr:sp macro="" textlink="">
      <xdr:nvSpPr>
        <xdr:cNvPr id="8" name="TextBox 22"/>
        <xdr:cNvSpPr txBox="1"/>
      </xdr:nvSpPr>
      <xdr:spPr>
        <a:xfrm>
          <a:off x="6425712" y="38239212"/>
          <a:ext cx="3069982" cy="2491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100"/>
            <a:t>ภ.5</a:t>
          </a:r>
          <a:r>
            <a:rPr lang="en-US" sz="1100"/>
            <a:t>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ปีงบประมาณ 2564   (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งวดที่ 2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ไตรมาส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)</a:t>
          </a:r>
          <a:endParaRPr lang="th-TH" sz="1100"/>
        </a:p>
      </xdr:txBody>
    </xdr:sp>
    <xdr:clientData/>
  </xdr:twoCellAnchor>
  <xdr:twoCellAnchor>
    <xdr:from>
      <xdr:col>14</xdr:col>
      <xdr:colOff>161192</xdr:colOff>
      <xdr:row>254</xdr:row>
      <xdr:rowOff>14654</xdr:rowOff>
    </xdr:from>
    <xdr:to>
      <xdr:col>20</xdr:col>
      <xdr:colOff>461599</xdr:colOff>
      <xdr:row>255</xdr:row>
      <xdr:rowOff>87923</xdr:rowOff>
    </xdr:to>
    <xdr:sp macro="" textlink="">
      <xdr:nvSpPr>
        <xdr:cNvPr id="9" name="TextBox 23"/>
        <xdr:cNvSpPr txBox="1"/>
      </xdr:nvSpPr>
      <xdr:spPr>
        <a:xfrm>
          <a:off x="6374423" y="44452442"/>
          <a:ext cx="3113945" cy="2344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100"/>
            <a:t>ภ.6</a:t>
          </a:r>
          <a:r>
            <a:rPr lang="en-US" sz="1100"/>
            <a:t>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ปีงบประมาณ 2564   </a:t>
          </a:r>
          <a:r>
            <a:rPr lang="th-TH" sz="1100"/>
            <a:t>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(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งวดที่ 2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ไตรมาส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)</a:t>
          </a:r>
          <a:endParaRPr lang="th-TH" sz="1100"/>
        </a:p>
      </xdr:txBody>
    </xdr:sp>
    <xdr:clientData/>
  </xdr:twoCellAnchor>
  <xdr:twoCellAnchor>
    <xdr:from>
      <xdr:col>14</xdr:col>
      <xdr:colOff>153865</xdr:colOff>
      <xdr:row>291</xdr:row>
      <xdr:rowOff>139212</xdr:rowOff>
    </xdr:from>
    <xdr:to>
      <xdr:col>20</xdr:col>
      <xdr:colOff>476252</xdr:colOff>
      <xdr:row>293</xdr:row>
      <xdr:rowOff>87923</xdr:rowOff>
    </xdr:to>
    <xdr:sp macro="" textlink="">
      <xdr:nvSpPr>
        <xdr:cNvPr id="10" name="TextBox 24"/>
        <xdr:cNvSpPr txBox="1"/>
      </xdr:nvSpPr>
      <xdr:spPr>
        <a:xfrm>
          <a:off x="6364165" y="50840787"/>
          <a:ext cx="3132262" cy="2725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100"/>
            <a:t>ภ.7</a:t>
          </a:r>
          <a:r>
            <a:rPr lang="en-US" sz="1100"/>
            <a:t>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ปีงบประมาณ 2564   </a:t>
          </a:r>
          <a:r>
            <a:rPr lang="th-TH" sz="1100"/>
            <a:t>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(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งวดที่ 2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ไตรมาส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)</a:t>
          </a:r>
          <a:endParaRPr lang="th-TH" sz="1100"/>
        </a:p>
      </xdr:txBody>
    </xdr:sp>
    <xdr:clientData/>
  </xdr:twoCellAnchor>
  <xdr:twoCellAnchor>
    <xdr:from>
      <xdr:col>14</xdr:col>
      <xdr:colOff>0</xdr:colOff>
      <xdr:row>329</xdr:row>
      <xdr:rowOff>1</xdr:rowOff>
    </xdr:from>
    <xdr:to>
      <xdr:col>20</xdr:col>
      <xdr:colOff>432291</xdr:colOff>
      <xdr:row>330</xdr:row>
      <xdr:rowOff>139211</xdr:rowOff>
    </xdr:to>
    <xdr:sp macro="" textlink="">
      <xdr:nvSpPr>
        <xdr:cNvPr id="11" name="TextBox 25"/>
        <xdr:cNvSpPr txBox="1"/>
      </xdr:nvSpPr>
      <xdr:spPr>
        <a:xfrm>
          <a:off x="6210300" y="57216676"/>
          <a:ext cx="3242166" cy="3011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100"/>
            <a:t>ภ.8 </a:t>
          </a:r>
          <a:r>
            <a:rPr lang="en-US" sz="1100"/>
            <a:t>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ปีงบประมาณ 2564  (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งวดที่ 2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ไตรมาส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)</a:t>
          </a:r>
          <a:endParaRPr lang="th-TH" sz="1100"/>
        </a:p>
      </xdr:txBody>
    </xdr:sp>
    <xdr:clientData/>
  </xdr:twoCellAnchor>
  <xdr:twoCellAnchor>
    <xdr:from>
      <xdr:col>14</xdr:col>
      <xdr:colOff>153866</xdr:colOff>
      <xdr:row>366</xdr:row>
      <xdr:rowOff>21980</xdr:rowOff>
    </xdr:from>
    <xdr:to>
      <xdr:col>20</xdr:col>
      <xdr:colOff>454272</xdr:colOff>
      <xdr:row>367</xdr:row>
      <xdr:rowOff>117230</xdr:rowOff>
    </xdr:to>
    <xdr:sp macro="" textlink="">
      <xdr:nvSpPr>
        <xdr:cNvPr id="12" name="TextBox 26"/>
        <xdr:cNvSpPr txBox="1"/>
      </xdr:nvSpPr>
      <xdr:spPr>
        <a:xfrm>
          <a:off x="6364166" y="63591830"/>
          <a:ext cx="3110281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100"/>
            <a:t>ภ.9 </a:t>
          </a:r>
          <a:r>
            <a:rPr lang="en-US" sz="1100"/>
            <a:t>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ปีงบประมาณ 2564   (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งวดที่ 2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ไตรมาส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)</a:t>
          </a:r>
          <a:endParaRPr lang="th-TH" sz="1100"/>
        </a:p>
      </xdr:txBody>
    </xdr:sp>
    <xdr:clientData/>
  </xdr:twoCellAnchor>
  <xdr:twoCellAnchor>
    <xdr:from>
      <xdr:col>13</xdr:col>
      <xdr:colOff>139212</xdr:colOff>
      <xdr:row>403</xdr:row>
      <xdr:rowOff>58615</xdr:rowOff>
    </xdr:from>
    <xdr:to>
      <xdr:col>20</xdr:col>
      <xdr:colOff>476252</xdr:colOff>
      <xdr:row>404</xdr:row>
      <xdr:rowOff>95250</xdr:rowOff>
    </xdr:to>
    <xdr:sp macro="" textlink="">
      <xdr:nvSpPr>
        <xdr:cNvPr id="13" name="TextBox 28"/>
        <xdr:cNvSpPr txBox="1"/>
      </xdr:nvSpPr>
      <xdr:spPr>
        <a:xfrm>
          <a:off x="5901837" y="69981640"/>
          <a:ext cx="3594590" cy="1985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100"/>
            <a:t>บช.ก.(รฟ.)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ปีงบประมาณ 2563   </a:t>
          </a:r>
          <a:r>
            <a:rPr lang="th-TH" sz="1100"/>
            <a:t>(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งวดที่ 2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ไตรมาส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h-TH" sz="1100"/>
            <a:t>)</a:t>
          </a:r>
        </a:p>
      </xdr:txBody>
    </xdr:sp>
    <xdr:clientData/>
  </xdr:twoCellAnchor>
  <xdr:twoCellAnchor>
    <xdr:from>
      <xdr:col>14</xdr:col>
      <xdr:colOff>58615</xdr:colOff>
      <xdr:row>439</xdr:row>
      <xdr:rowOff>80597</xdr:rowOff>
    </xdr:from>
    <xdr:to>
      <xdr:col>20</xdr:col>
      <xdr:colOff>490905</xdr:colOff>
      <xdr:row>440</xdr:row>
      <xdr:rowOff>117232</xdr:rowOff>
    </xdr:to>
    <xdr:sp macro="" textlink="">
      <xdr:nvSpPr>
        <xdr:cNvPr id="14" name="TextBox 29"/>
        <xdr:cNvSpPr txBox="1"/>
      </xdr:nvSpPr>
      <xdr:spPr>
        <a:xfrm>
          <a:off x="6271846" y="76441789"/>
          <a:ext cx="3245828" cy="1978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100"/>
            <a:t>รพ.ตร.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ปีงบประมาณ 2564   (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งวดที่ 2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ไตรมาส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)</a:t>
          </a:r>
          <a:endParaRPr lang="th-TH" sz="1100"/>
        </a:p>
      </xdr:txBody>
    </xdr:sp>
    <xdr:clientData/>
  </xdr:twoCellAnchor>
  <xdr:twoCellAnchor>
    <xdr:from>
      <xdr:col>13</xdr:col>
      <xdr:colOff>153866</xdr:colOff>
      <xdr:row>476</xdr:row>
      <xdr:rowOff>109904</xdr:rowOff>
    </xdr:from>
    <xdr:to>
      <xdr:col>20</xdr:col>
      <xdr:colOff>476251</xdr:colOff>
      <xdr:row>478</xdr:row>
      <xdr:rowOff>80597</xdr:rowOff>
    </xdr:to>
    <xdr:sp macro="" textlink="">
      <xdr:nvSpPr>
        <xdr:cNvPr id="15" name="TextBox 30"/>
        <xdr:cNvSpPr txBox="1"/>
      </xdr:nvSpPr>
      <xdr:spPr>
        <a:xfrm>
          <a:off x="5916491" y="82510679"/>
          <a:ext cx="3579935" cy="2945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100"/>
            <a:t>สยศ.ตร.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ปีงบประมาณ 2564   </a:t>
          </a:r>
          <a:r>
            <a:rPr lang="th-TH" sz="1100"/>
            <a:t>(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งวดที่ 2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ไตรมาส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th-TH" sz="1100"/>
            <a:t>)</a:t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20</xdr:col>
      <xdr:colOff>498231</xdr:colOff>
      <xdr:row>31</xdr:row>
      <xdr:rowOff>186836</xdr:rowOff>
    </xdr:to>
    <xdr:sp macro="" textlink="">
      <xdr:nvSpPr>
        <xdr:cNvPr id="16" name="TextBox 45"/>
        <xdr:cNvSpPr txBox="1"/>
      </xdr:nvSpPr>
      <xdr:spPr>
        <a:xfrm>
          <a:off x="7600950" y="4610100"/>
          <a:ext cx="1917456" cy="11298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ตรวจแล้วถูกต้อง</a:t>
          </a:r>
        </a:p>
        <a:p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พ.ต.ท.หญิง</a:t>
          </a: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(บุศรา   น้อยมหาวัย</a:t>
          </a:r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รอง ผกก.ฯ ปรท.ผกก.สร.ผอ.</a:t>
          </a:r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17</xdr:col>
      <xdr:colOff>0</xdr:colOff>
      <xdr:row>58</xdr:row>
      <xdr:rowOff>0</xdr:rowOff>
    </xdr:from>
    <xdr:to>
      <xdr:col>20</xdr:col>
      <xdr:colOff>498231</xdr:colOff>
      <xdr:row>64</xdr:row>
      <xdr:rowOff>40297</xdr:rowOff>
    </xdr:to>
    <xdr:sp macro="" textlink="">
      <xdr:nvSpPr>
        <xdr:cNvPr id="17" name="TextBox 45"/>
        <xdr:cNvSpPr txBox="1"/>
      </xdr:nvSpPr>
      <xdr:spPr>
        <a:xfrm>
          <a:off x="7600950" y="10363200"/>
          <a:ext cx="1917456" cy="11642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ตรวจแล้วถูกต้อง</a:t>
          </a:r>
        </a:p>
        <a:p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พ.ต.ท.หญิง</a:t>
          </a: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(บุศรา   น้อยมหาวัย</a:t>
          </a:r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รอง ผกก.ฯ ปรท.ผกก.สร.ผอ.</a:t>
          </a:r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17</xdr:col>
      <xdr:colOff>0</xdr:colOff>
      <xdr:row>98</xdr:row>
      <xdr:rowOff>0</xdr:rowOff>
    </xdr:from>
    <xdr:to>
      <xdr:col>20</xdr:col>
      <xdr:colOff>498231</xdr:colOff>
      <xdr:row>104</xdr:row>
      <xdr:rowOff>150202</xdr:rowOff>
    </xdr:to>
    <xdr:sp macro="" textlink="">
      <xdr:nvSpPr>
        <xdr:cNvPr id="18" name="TextBox 45"/>
        <xdr:cNvSpPr txBox="1"/>
      </xdr:nvSpPr>
      <xdr:spPr>
        <a:xfrm>
          <a:off x="7600950" y="17449800"/>
          <a:ext cx="1917456" cy="11979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ตรวจแล้วถูกต้อง</a:t>
          </a:r>
        </a:p>
        <a:p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พ.ต.ท.หญิง</a:t>
          </a: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(บุศรา   น้อยมหาวัย</a:t>
          </a:r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รอง ผกก.ฯ ปรท.ผกก.สร.ผอ.</a:t>
          </a:r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17</xdr:col>
      <xdr:colOff>0</xdr:colOff>
      <xdr:row>134</xdr:row>
      <xdr:rowOff>0</xdr:rowOff>
    </xdr:from>
    <xdr:to>
      <xdr:col>20</xdr:col>
      <xdr:colOff>498231</xdr:colOff>
      <xdr:row>140</xdr:row>
      <xdr:rowOff>150201</xdr:rowOff>
    </xdr:to>
    <xdr:sp macro="" textlink="">
      <xdr:nvSpPr>
        <xdr:cNvPr id="19" name="TextBox 45"/>
        <xdr:cNvSpPr txBox="1"/>
      </xdr:nvSpPr>
      <xdr:spPr>
        <a:xfrm>
          <a:off x="7600950" y="23641050"/>
          <a:ext cx="1917456" cy="11979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ตรวจแล้วถูกต้อง</a:t>
          </a:r>
        </a:p>
        <a:p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พ.ต.ท.หญิง</a:t>
          </a: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(บุศรา   น้อยมหาวัย</a:t>
          </a:r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รอง ผกก.ฯ ปรท.ผกก.สร.ผอ.</a:t>
          </a:r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17</xdr:col>
      <xdr:colOff>0</xdr:colOff>
      <xdr:row>171</xdr:row>
      <xdr:rowOff>0</xdr:rowOff>
    </xdr:from>
    <xdr:to>
      <xdr:col>20</xdr:col>
      <xdr:colOff>498231</xdr:colOff>
      <xdr:row>178</xdr:row>
      <xdr:rowOff>10990</xdr:rowOff>
    </xdr:to>
    <xdr:sp macro="" textlink="">
      <xdr:nvSpPr>
        <xdr:cNvPr id="20" name="TextBox 45"/>
        <xdr:cNvSpPr txBox="1"/>
      </xdr:nvSpPr>
      <xdr:spPr>
        <a:xfrm>
          <a:off x="7600950" y="30013275"/>
          <a:ext cx="1917456" cy="12016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ตรวจแล้วถูกต้อง</a:t>
          </a:r>
        </a:p>
        <a:p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พ.ต.ท.หญิง</a:t>
          </a: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(บุศรา   น้อยมหาวัย</a:t>
          </a:r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รอง ผกก.ฯ ปรท.ผกก.สร.ผอ.</a:t>
          </a:r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16</xdr:col>
      <xdr:colOff>439615</xdr:colOff>
      <xdr:row>207</xdr:row>
      <xdr:rowOff>146538</xdr:rowOff>
    </xdr:from>
    <xdr:to>
      <xdr:col>20</xdr:col>
      <xdr:colOff>468923</xdr:colOff>
      <xdr:row>214</xdr:row>
      <xdr:rowOff>3663</xdr:rowOff>
    </xdr:to>
    <xdr:sp macro="" textlink="">
      <xdr:nvSpPr>
        <xdr:cNvPr id="21" name="TextBox 45"/>
        <xdr:cNvSpPr txBox="1"/>
      </xdr:nvSpPr>
      <xdr:spPr>
        <a:xfrm>
          <a:off x="7576038" y="36334211"/>
          <a:ext cx="1919654" cy="11759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ตรวจแล้วถูกต้อง</a:t>
          </a:r>
        </a:p>
        <a:p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พ.ต.ท.หญิง</a:t>
          </a: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(บุศรา   น้อยมหาวัย</a:t>
          </a:r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รอง ผกก.ฯ ปรท.ผกก.สร.ผอ.</a:t>
          </a:r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17</xdr:col>
      <xdr:colOff>0</xdr:colOff>
      <xdr:row>243</xdr:row>
      <xdr:rowOff>14654</xdr:rowOff>
    </xdr:from>
    <xdr:to>
      <xdr:col>20</xdr:col>
      <xdr:colOff>498231</xdr:colOff>
      <xdr:row>249</xdr:row>
      <xdr:rowOff>142874</xdr:rowOff>
    </xdr:to>
    <xdr:sp macro="" textlink="">
      <xdr:nvSpPr>
        <xdr:cNvPr id="22" name="TextBox 45"/>
        <xdr:cNvSpPr txBox="1"/>
      </xdr:nvSpPr>
      <xdr:spPr>
        <a:xfrm>
          <a:off x="7605346" y="42576750"/>
          <a:ext cx="1919654" cy="11979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ตรวจแล้วถูกต้อง</a:t>
          </a:r>
        </a:p>
        <a:p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พ.ต.ท.หญิง</a:t>
          </a: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(บุศรา   น้อยมหาวัย</a:t>
          </a:r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รอง ผกก.ฯ ปรท.ผกก.สร.ผอ.</a:t>
          </a:r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17</xdr:col>
      <xdr:colOff>0</xdr:colOff>
      <xdr:row>280</xdr:row>
      <xdr:rowOff>0</xdr:rowOff>
    </xdr:from>
    <xdr:to>
      <xdr:col>20</xdr:col>
      <xdr:colOff>498231</xdr:colOff>
      <xdr:row>286</xdr:row>
      <xdr:rowOff>128221</xdr:rowOff>
    </xdr:to>
    <xdr:sp macro="" textlink="">
      <xdr:nvSpPr>
        <xdr:cNvPr id="23" name="TextBox 45"/>
        <xdr:cNvSpPr txBox="1"/>
      </xdr:nvSpPr>
      <xdr:spPr>
        <a:xfrm>
          <a:off x="7600950" y="48825150"/>
          <a:ext cx="1917456" cy="11950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ตรวจแล้วถูกต้อง</a:t>
          </a:r>
        </a:p>
        <a:p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พ.ต.ท.หญิง</a:t>
          </a: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(บุศรา   น้อยมหาวัย</a:t>
          </a:r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รอง ผกก.ฯ ปรท.ผกก.สร.ผอ.</a:t>
          </a:r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17</xdr:col>
      <xdr:colOff>0</xdr:colOff>
      <xdr:row>317</xdr:row>
      <xdr:rowOff>0</xdr:rowOff>
    </xdr:from>
    <xdr:to>
      <xdr:col>20</xdr:col>
      <xdr:colOff>498231</xdr:colOff>
      <xdr:row>323</xdr:row>
      <xdr:rowOff>128221</xdr:rowOff>
    </xdr:to>
    <xdr:sp macro="" textlink="">
      <xdr:nvSpPr>
        <xdr:cNvPr id="24" name="TextBox 45"/>
        <xdr:cNvSpPr txBox="1"/>
      </xdr:nvSpPr>
      <xdr:spPr>
        <a:xfrm>
          <a:off x="7600950" y="55178325"/>
          <a:ext cx="1917456" cy="11950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ตรวจแล้วถูกต้อง</a:t>
          </a:r>
        </a:p>
        <a:p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พ.ต.ท.หญิง</a:t>
          </a: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(บุศรา   น้อยมหาวัย</a:t>
          </a:r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รอง ผกก.ฯ ปรท.ผกก.สร.ผอ.</a:t>
          </a:r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16</xdr:col>
      <xdr:colOff>373673</xdr:colOff>
      <xdr:row>353</xdr:row>
      <xdr:rowOff>95250</xdr:rowOff>
    </xdr:from>
    <xdr:to>
      <xdr:col>20</xdr:col>
      <xdr:colOff>402981</xdr:colOff>
      <xdr:row>360</xdr:row>
      <xdr:rowOff>40297</xdr:rowOff>
    </xdr:to>
    <xdr:sp macro="" textlink="">
      <xdr:nvSpPr>
        <xdr:cNvPr id="25" name="TextBox 45"/>
        <xdr:cNvSpPr txBox="1"/>
      </xdr:nvSpPr>
      <xdr:spPr>
        <a:xfrm>
          <a:off x="7510096" y="61553481"/>
          <a:ext cx="1919654" cy="11979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ตรวจแล้วถูกต้อง</a:t>
          </a:r>
        </a:p>
        <a:p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พ.ต.ท.หญิง</a:t>
          </a: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(บุศรา   น้อยมหาวัย</a:t>
          </a:r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รอง ผกก.ฯ ปรท.ผกก.สร.ผอ.</a:t>
          </a:r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17</xdr:col>
      <xdr:colOff>0</xdr:colOff>
      <xdr:row>391</xdr:row>
      <xdr:rowOff>0</xdr:rowOff>
    </xdr:from>
    <xdr:to>
      <xdr:col>20</xdr:col>
      <xdr:colOff>498231</xdr:colOff>
      <xdr:row>397</xdr:row>
      <xdr:rowOff>128220</xdr:rowOff>
    </xdr:to>
    <xdr:sp macro="" textlink="">
      <xdr:nvSpPr>
        <xdr:cNvPr id="26" name="TextBox 45"/>
        <xdr:cNvSpPr txBox="1"/>
      </xdr:nvSpPr>
      <xdr:spPr>
        <a:xfrm>
          <a:off x="7600950" y="67884675"/>
          <a:ext cx="1917456" cy="11950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ตรวจแล้วถูกต้อง</a:t>
          </a:r>
        </a:p>
        <a:p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พ.ต.ท.หญิง</a:t>
          </a: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(บุศรา   น้อยมหาวัย</a:t>
          </a:r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รอง ผกก.ฯ ปรท.ผกก.สร.ผอ.</a:t>
          </a:r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17</xdr:col>
      <xdr:colOff>0</xdr:colOff>
      <xdr:row>413</xdr:row>
      <xdr:rowOff>0</xdr:rowOff>
    </xdr:from>
    <xdr:to>
      <xdr:col>20</xdr:col>
      <xdr:colOff>498231</xdr:colOff>
      <xdr:row>417</xdr:row>
      <xdr:rowOff>172182</xdr:rowOff>
    </xdr:to>
    <xdr:sp macro="" textlink="">
      <xdr:nvSpPr>
        <xdr:cNvPr id="27" name="TextBox 45"/>
        <xdr:cNvSpPr txBox="1"/>
      </xdr:nvSpPr>
      <xdr:spPr>
        <a:xfrm>
          <a:off x="7600950" y="71666100"/>
          <a:ext cx="1917456" cy="11246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ตรวจแล้วถูกต้อง</a:t>
          </a:r>
        </a:p>
        <a:p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พ.ต.ท.หญิง</a:t>
          </a: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(บุศรา   น้อยมหาวัย</a:t>
          </a:r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รอง ผกก.ฯ ปรท.ผกก.สร.ผอ.</a:t>
          </a:r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17</xdr:col>
      <xdr:colOff>0</xdr:colOff>
      <xdr:row>447</xdr:row>
      <xdr:rowOff>0</xdr:rowOff>
    </xdr:from>
    <xdr:to>
      <xdr:col>20</xdr:col>
      <xdr:colOff>498231</xdr:colOff>
      <xdr:row>454</xdr:row>
      <xdr:rowOff>10990</xdr:rowOff>
    </xdr:to>
    <xdr:sp macro="" textlink="">
      <xdr:nvSpPr>
        <xdr:cNvPr id="28" name="TextBox 45"/>
        <xdr:cNvSpPr txBox="1"/>
      </xdr:nvSpPr>
      <xdr:spPr>
        <a:xfrm>
          <a:off x="7600950" y="77647800"/>
          <a:ext cx="1917456" cy="12016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ตรวจแล้วถูกต้อง</a:t>
          </a:r>
        </a:p>
        <a:p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พ.ต.ท.หญิง</a:t>
          </a: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(บุศรา   น้อยมหาวัย</a:t>
          </a:r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รอง ผกก.ฯ ปรท.ผกก.สร.ผอ.</a:t>
          </a:r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17</xdr:col>
      <xdr:colOff>0</xdr:colOff>
      <xdr:row>486</xdr:row>
      <xdr:rowOff>0</xdr:rowOff>
    </xdr:from>
    <xdr:to>
      <xdr:col>20</xdr:col>
      <xdr:colOff>498231</xdr:colOff>
      <xdr:row>493</xdr:row>
      <xdr:rowOff>10990</xdr:rowOff>
    </xdr:to>
    <xdr:sp macro="" textlink="">
      <xdr:nvSpPr>
        <xdr:cNvPr id="29" name="TextBox 45"/>
        <xdr:cNvSpPr txBox="1"/>
      </xdr:nvSpPr>
      <xdr:spPr>
        <a:xfrm>
          <a:off x="7600950" y="84115275"/>
          <a:ext cx="1917456" cy="12016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ตรวจแล้วถูกต้อง</a:t>
          </a:r>
        </a:p>
        <a:p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พ.ต.ท.หญิง</a:t>
          </a:r>
        </a:p>
        <a:p>
          <a:r>
            <a:rPr lang="th-TH" sz="1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(บุศรา   น้อยมหาวัย</a:t>
          </a:r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r>
            <a:rPr lang="th-TH" sz="14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รอง ผกก.ฯ ปรท.ผกก.สร.ผอ.</a:t>
          </a:r>
          <a:endParaRPr lang="th-TH" sz="14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E515"/>
  <sheetViews>
    <sheetView zoomScale="130" zoomScaleNormal="130" workbookViewId="0">
      <selection activeCell="N30" sqref="N30"/>
    </sheetView>
  </sheetViews>
  <sheetFormatPr defaultRowHeight="12.75" x14ac:dyDescent="0.2"/>
  <cols>
    <col min="1" max="1" width="11" customWidth="1"/>
    <col min="2" max="2" width="4.140625" customWidth="1"/>
    <col min="3" max="3" width="5.7109375" customWidth="1"/>
    <col min="4" max="4" width="4" customWidth="1"/>
    <col min="5" max="5" width="5.28515625" customWidth="1"/>
    <col min="6" max="6" width="4" customWidth="1"/>
    <col min="7" max="7" width="4.28515625" customWidth="1"/>
    <col min="8" max="9" width="7.85546875" customWidth="1"/>
    <col min="10" max="10" width="8.140625" customWidth="1"/>
    <col min="11" max="11" width="8.7109375" customWidth="1"/>
    <col min="12" max="12" width="7.85546875" customWidth="1"/>
    <col min="13" max="13" width="7.5703125" customWidth="1"/>
    <col min="14" max="14" width="6.42578125" customWidth="1"/>
    <col min="15" max="15" width="6.5703125" customWidth="1"/>
    <col min="16" max="16" width="6.85546875" customWidth="1"/>
    <col min="17" max="17" width="7" customWidth="1"/>
    <col min="18" max="18" width="7.7109375" customWidth="1"/>
    <col min="19" max="19" width="7.5703125" customWidth="1"/>
    <col min="20" max="20" width="6" customWidth="1"/>
    <col min="21" max="21" width="8.5703125" customWidth="1"/>
    <col min="22" max="22" width="13.7109375" customWidth="1"/>
    <col min="23" max="23" width="11.5703125" customWidth="1"/>
    <col min="24" max="24" width="10.140625" bestFit="1" customWidth="1"/>
  </cols>
  <sheetData>
    <row r="1" spans="1:31" x14ac:dyDescent="0.2">
      <c r="A1" s="95" t="s">
        <v>163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</row>
    <row r="2" spans="1:31" ht="21" x14ac:dyDescent="0.35">
      <c r="A2" s="32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67">
        <f>H6+J7+J8+J9+J10+J11+J12+J13+J14+J15</f>
        <v>6988000</v>
      </c>
      <c r="W2" s="66">
        <f>V2-1700000</f>
        <v>5288000</v>
      </c>
      <c r="X2" s="65"/>
      <c r="Y2" s="65"/>
      <c r="Z2" s="65"/>
      <c r="AA2" s="65"/>
      <c r="AB2" s="65"/>
      <c r="AC2" s="65"/>
      <c r="AD2" s="65"/>
      <c r="AE2" s="65"/>
    </row>
    <row r="3" spans="1:31" x14ac:dyDescent="0.2">
      <c r="A3" s="16" t="s">
        <v>0</v>
      </c>
      <c r="B3" s="14" t="s">
        <v>46</v>
      </c>
      <c r="C3" s="14" t="s">
        <v>26</v>
      </c>
      <c r="D3" s="14" t="s">
        <v>46</v>
      </c>
      <c r="E3" s="14" t="s">
        <v>28</v>
      </c>
      <c r="F3" s="14" t="s">
        <v>43</v>
      </c>
      <c r="G3" s="14" t="s">
        <v>43</v>
      </c>
      <c r="H3" s="14" t="s">
        <v>14</v>
      </c>
      <c r="I3" s="14" t="s">
        <v>138</v>
      </c>
      <c r="J3" s="14" t="s">
        <v>30</v>
      </c>
      <c r="K3" s="14" t="s">
        <v>135</v>
      </c>
      <c r="L3" s="14" t="s">
        <v>13</v>
      </c>
      <c r="M3" s="14" t="s">
        <v>13</v>
      </c>
      <c r="N3" s="14" t="s">
        <v>31</v>
      </c>
      <c r="O3" s="14" t="s">
        <v>33</v>
      </c>
      <c r="P3" s="14" t="s">
        <v>33</v>
      </c>
      <c r="Q3" s="14" t="s">
        <v>161</v>
      </c>
      <c r="R3" s="14" t="s">
        <v>162</v>
      </c>
      <c r="S3" s="34" t="s">
        <v>37</v>
      </c>
      <c r="T3" s="14" t="s">
        <v>39</v>
      </c>
      <c r="U3" s="14" t="s">
        <v>41</v>
      </c>
      <c r="V3" s="65"/>
      <c r="W3" s="65"/>
      <c r="X3" s="65"/>
      <c r="Y3" s="65"/>
      <c r="Z3" s="65"/>
      <c r="AA3" s="65"/>
      <c r="AB3" s="65"/>
      <c r="AC3" s="65"/>
      <c r="AD3" s="65"/>
      <c r="AE3" s="65"/>
    </row>
    <row r="4" spans="1:31" ht="13.5" thickBot="1" x14ac:dyDescent="0.25">
      <c r="A4" s="17"/>
      <c r="B4" s="18" t="s">
        <v>48</v>
      </c>
      <c r="C4" s="18" t="s">
        <v>27</v>
      </c>
      <c r="D4" s="18" t="s">
        <v>47</v>
      </c>
      <c r="E4" s="18" t="s">
        <v>29</v>
      </c>
      <c r="F4" s="18" t="s">
        <v>44</v>
      </c>
      <c r="G4" s="18" t="s">
        <v>45</v>
      </c>
      <c r="H4" s="21" t="s">
        <v>137</v>
      </c>
      <c r="I4" s="18" t="s">
        <v>139</v>
      </c>
      <c r="J4" s="18" t="s">
        <v>146</v>
      </c>
      <c r="K4" s="18" t="s">
        <v>136</v>
      </c>
      <c r="L4" s="18" t="s">
        <v>134</v>
      </c>
      <c r="M4" s="18" t="s">
        <v>160</v>
      </c>
      <c r="N4" s="18" t="s">
        <v>32</v>
      </c>
      <c r="O4" s="18" t="s">
        <v>34</v>
      </c>
      <c r="P4" s="18" t="s">
        <v>133</v>
      </c>
      <c r="Q4" s="42" t="s">
        <v>168</v>
      </c>
      <c r="R4" s="18" t="s">
        <v>173</v>
      </c>
      <c r="S4" s="35" t="s">
        <v>38</v>
      </c>
      <c r="T4" s="18" t="s">
        <v>40</v>
      </c>
      <c r="U4" s="18" t="s">
        <v>42</v>
      </c>
      <c r="V4" s="65"/>
      <c r="W4" s="66"/>
      <c r="X4" s="66"/>
      <c r="Y4" s="65"/>
      <c r="Z4" s="65"/>
      <c r="AA4" s="65"/>
      <c r="AB4" s="65"/>
      <c r="AC4" s="65"/>
      <c r="AD4" s="65"/>
      <c r="AE4" s="65"/>
    </row>
    <row r="5" spans="1:31" ht="13.5" thickBot="1" x14ac:dyDescent="0.25">
      <c r="A5" s="20" t="s">
        <v>12</v>
      </c>
      <c r="B5" s="64"/>
      <c r="C5" s="64"/>
      <c r="D5" s="64"/>
      <c r="E5" s="64"/>
      <c r="F5" s="64"/>
      <c r="G5" s="64"/>
      <c r="H5" s="71">
        <f>H6+H7+H8+H9+H10+H11+H12+H13+H14+H15+H16+H17+H18</f>
        <v>83251200</v>
      </c>
      <c r="I5" s="77">
        <f>I6+I7+I8+I9+I10+I11+I12+I13+I14+I15+I16+I17+I18</f>
        <v>23232000</v>
      </c>
      <c r="J5" s="71">
        <f>J6+J7+J8+J9+J10+J11+J12+J13+J14+J15+J16+J17+J18</f>
        <v>3130000</v>
      </c>
      <c r="K5" s="71"/>
      <c r="L5" s="71">
        <f>L6+L7+L8+L9+L10+L11+L12+L13+L14+L15+L16+L17+L18</f>
        <v>300000</v>
      </c>
      <c r="M5" s="71">
        <f t="shared" ref="M5:Q5" si="0">M6+M7+M8+M9+M10+M11+M12+M13+M14+M15+M16+M17+M18</f>
        <v>1202240</v>
      </c>
      <c r="N5" s="71"/>
      <c r="O5" s="71">
        <f t="shared" si="0"/>
        <v>194460</v>
      </c>
      <c r="P5" s="71">
        <f t="shared" si="0"/>
        <v>7000000</v>
      </c>
      <c r="Q5" s="71">
        <f t="shared" si="0"/>
        <v>400000</v>
      </c>
      <c r="R5" s="71"/>
      <c r="S5" s="72"/>
      <c r="T5" s="72"/>
      <c r="U5" s="81">
        <f>SUM(B5:T5)</f>
        <v>118709900</v>
      </c>
      <c r="V5" s="80"/>
      <c r="W5" s="65"/>
      <c r="X5" s="65"/>
      <c r="Y5" s="65"/>
      <c r="Z5" s="65"/>
      <c r="AA5" s="65"/>
      <c r="AB5" s="65"/>
      <c r="AC5" s="65"/>
      <c r="AD5" s="65"/>
      <c r="AE5" s="65"/>
    </row>
    <row r="6" spans="1:31" x14ac:dyDescent="0.2">
      <c r="A6" s="2" t="s">
        <v>1</v>
      </c>
      <c r="B6" s="19"/>
      <c r="C6" s="19"/>
      <c r="D6" s="19"/>
      <c r="E6" s="19"/>
      <c r="F6" s="19"/>
      <c r="G6" s="19"/>
      <c r="H6" s="19">
        <f>H40</f>
        <v>4928000</v>
      </c>
      <c r="I6" s="19">
        <f>I40</f>
        <v>3840000</v>
      </c>
      <c r="J6" s="19">
        <f>J40</f>
        <v>240000</v>
      </c>
      <c r="K6" s="19"/>
      <c r="L6" s="19"/>
      <c r="M6" s="19"/>
      <c r="N6" s="19"/>
      <c r="O6" s="19"/>
      <c r="P6" s="19"/>
      <c r="Q6" s="36"/>
      <c r="R6" s="19"/>
      <c r="S6" s="19"/>
      <c r="T6" s="19"/>
      <c r="U6" s="82">
        <f t="shared" ref="U6:U17" si="1">H6+I6+J6+N6</f>
        <v>9008000</v>
      </c>
      <c r="V6" s="65"/>
      <c r="W6" s="74"/>
      <c r="X6" s="65"/>
      <c r="Y6" s="65"/>
      <c r="Z6" s="65"/>
      <c r="AA6" s="65"/>
      <c r="AB6" s="65"/>
      <c r="AC6" s="65"/>
      <c r="AD6" s="65"/>
      <c r="AE6" s="65"/>
    </row>
    <row r="7" spans="1:31" x14ac:dyDescent="0.2">
      <c r="A7" s="3" t="s">
        <v>2</v>
      </c>
      <c r="B7" s="4"/>
      <c r="C7" s="4"/>
      <c r="D7" s="4"/>
      <c r="E7" s="4"/>
      <c r="F7" s="4"/>
      <c r="G7" s="4"/>
      <c r="H7" s="4">
        <f>H77</f>
        <v>7022400</v>
      </c>
      <c r="I7" s="4">
        <f>I77</f>
        <v>3120000</v>
      </c>
      <c r="J7" s="19">
        <f>J77</f>
        <v>240000</v>
      </c>
      <c r="K7" s="4"/>
      <c r="L7" s="4"/>
      <c r="M7" s="4"/>
      <c r="N7" s="4"/>
      <c r="O7" s="4"/>
      <c r="P7" s="4"/>
      <c r="Q7" s="36"/>
      <c r="R7" s="4"/>
      <c r="S7" s="4"/>
      <c r="T7" s="4"/>
      <c r="U7" s="82">
        <f t="shared" si="1"/>
        <v>10382400</v>
      </c>
      <c r="V7" s="65"/>
      <c r="W7" s="74"/>
      <c r="X7" s="65"/>
      <c r="Y7" s="65"/>
      <c r="Z7" s="65"/>
      <c r="AA7" s="65"/>
      <c r="AB7" s="65"/>
      <c r="AC7" s="65"/>
      <c r="AD7" s="65"/>
      <c r="AE7" s="65"/>
    </row>
    <row r="8" spans="1:31" x14ac:dyDescent="0.2">
      <c r="A8" s="3" t="s">
        <v>3</v>
      </c>
      <c r="B8" s="4"/>
      <c r="C8" s="4"/>
      <c r="D8" s="4"/>
      <c r="E8" s="4"/>
      <c r="F8" s="4"/>
      <c r="G8" s="4"/>
      <c r="H8" s="4">
        <f>H115</f>
        <v>6361600</v>
      </c>
      <c r="I8" s="4">
        <f>I115</f>
        <v>2448000</v>
      </c>
      <c r="J8" s="19">
        <f>J115</f>
        <v>220000</v>
      </c>
      <c r="K8" s="4"/>
      <c r="L8" s="4"/>
      <c r="M8" s="4"/>
      <c r="N8" s="4"/>
      <c r="O8" s="4"/>
      <c r="P8" s="4"/>
      <c r="Q8" s="36"/>
      <c r="R8" s="4"/>
      <c r="S8" s="4"/>
      <c r="T8" s="9"/>
      <c r="U8" s="82">
        <f t="shared" si="1"/>
        <v>9029600</v>
      </c>
      <c r="V8" s="65"/>
      <c r="W8" s="74"/>
      <c r="X8" s="65"/>
      <c r="Y8" s="65"/>
      <c r="Z8" s="65"/>
      <c r="AA8" s="65"/>
      <c r="AB8" s="65"/>
      <c r="AC8" s="65"/>
      <c r="AD8" s="65"/>
      <c r="AE8" s="65"/>
    </row>
    <row r="9" spans="1:31" x14ac:dyDescent="0.2">
      <c r="A9" s="3" t="s">
        <v>4</v>
      </c>
      <c r="B9" s="4"/>
      <c r="C9" s="4"/>
      <c r="D9" s="4"/>
      <c r="E9" s="4"/>
      <c r="F9" s="4"/>
      <c r="G9" s="4"/>
      <c r="H9" s="4">
        <f>H153</f>
        <v>12454400</v>
      </c>
      <c r="I9" s="4">
        <f>I153</f>
        <v>1488000</v>
      </c>
      <c r="J9" s="19">
        <f>J153</f>
        <v>220000</v>
      </c>
      <c r="K9" s="4"/>
      <c r="L9" s="4"/>
      <c r="M9" s="4"/>
      <c r="N9" s="4"/>
      <c r="O9" s="4"/>
      <c r="P9" s="4"/>
      <c r="Q9" s="36"/>
      <c r="R9" s="4"/>
      <c r="S9" s="4"/>
      <c r="T9" s="4"/>
      <c r="U9" s="82">
        <f t="shared" si="1"/>
        <v>14162400</v>
      </c>
      <c r="V9" s="65"/>
      <c r="W9" s="74"/>
      <c r="X9" s="65"/>
      <c r="Y9" s="65"/>
      <c r="Z9" s="65"/>
      <c r="AA9" s="65"/>
      <c r="AB9" s="65"/>
      <c r="AC9" s="65"/>
      <c r="AD9" s="65"/>
      <c r="AE9" s="65"/>
    </row>
    <row r="10" spans="1:31" x14ac:dyDescent="0.2">
      <c r="A10" s="3" t="s">
        <v>5</v>
      </c>
      <c r="B10" s="4"/>
      <c r="C10" s="4"/>
      <c r="D10" s="4"/>
      <c r="E10" s="4"/>
      <c r="F10" s="4"/>
      <c r="G10" s="4"/>
      <c r="H10" s="4">
        <f>H188</f>
        <v>13283200</v>
      </c>
      <c r="I10" s="4">
        <f>I188</f>
        <v>2160000</v>
      </c>
      <c r="J10" s="19">
        <f>J188</f>
        <v>300000</v>
      </c>
      <c r="K10" s="4"/>
      <c r="L10" s="4"/>
      <c r="M10" s="4"/>
      <c r="N10" s="4"/>
      <c r="O10" s="4"/>
      <c r="P10" s="4"/>
      <c r="Q10" s="36"/>
      <c r="R10" s="4"/>
      <c r="S10" s="4"/>
      <c r="T10" s="4"/>
      <c r="U10" s="82">
        <f t="shared" si="1"/>
        <v>15743200</v>
      </c>
      <c r="V10" s="65"/>
      <c r="W10" s="74"/>
      <c r="X10" s="65"/>
      <c r="Y10" s="65"/>
      <c r="Z10" s="65"/>
      <c r="AA10" s="65"/>
      <c r="AB10" s="65"/>
      <c r="AC10" s="65"/>
      <c r="AD10" s="65"/>
      <c r="AE10" s="65"/>
    </row>
    <row r="11" spans="1:31" x14ac:dyDescent="0.2">
      <c r="A11" s="3" t="s">
        <v>6</v>
      </c>
      <c r="B11" s="4"/>
      <c r="C11" s="4"/>
      <c r="D11" s="4"/>
      <c r="E11" s="4"/>
      <c r="F11" s="4"/>
      <c r="G11" s="4"/>
      <c r="H11" s="4">
        <f>H225</f>
        <v>8467200</v>
      </c>
      <c r="I11" s="4">
        <f>I225</f>
        <v>1776000</v>
      </c>
      <c r="J11" s="19">
        <f>J225</f>
        <v>220000</v>
      </c>
      <c r="K11" s="4"/>
      <c r="L11" s="4"/>
      <c r="M11" s="4"/>
      <c r="N11" s="4"/>
      <c r="O11" s="4"/>
      <c r="P11" s="4"/>
      <c r="Q11" s="36"/>
      <c r="R11" s="4"/>
      <c r="S11" s="4"/>
      <c r="T11" s="4"/>
      <c r="U11" s="82">
        <f t="shared" si="1"/>
        <v>10463200</v>
      </c>
      <c r="V11" s="65"/>
      <c r="W11" s="74"/>
      <c r="X11" s="65"/>
      <c r="Y11" s="65"/>
      <c r="Z11" s="65"/>
      <c r="AA11" s="65"/>
      <c r="AB11" s="65"/>
      <c r="AC11" s="65"/>
      <c r="AD11" s="65"/>
      <c r="AE11" s="65"/>
    </row>
    <row r="12" spans="1:31" x14ac:dyDescent="0.2">
      <c r="A12" s="3" t="s">
        <v>7</v>
      </c>
      <c r="B12" s="4"/>
      <c r="C12" s="4"/>
      <c r="D12" s="4"/>
      <c r="E12" s="4"/>
      <c r="F12" s="4"/>
      <c r="G12" s="4"/>
      <c r="H12" s="4">
        <f>H263</f>
        <v>7806400</v>
      </c>
      <c r="I12" s="4">
        <f>I263</f>
        <v>1488000</v>
      </c>
      <c r="J12" s="19">
        <f>J263</f>
        <v>240000</v>
      </c>
      <c r="K12" s="4"/>
      <c r="L12" s="4"/>
      <c r="M12" s="4"/>
      <c r="N12" s="4"/>
      <c r="O12" s="4"/>
      <c r="P12" s="4"/>
      <c r="Q12" s="36"/>
      <c r="R12" s="4"/>
      <c r="S12" s="4"/>
      <c r="T12" s="4"/>
      <c r="U12" s="82">
        <f t="shared" si="1"/>
        <v>9534400</v>
      </c>
      <c r="V12" s="65"/>
      <c r="W12" s="74"/>
      <c r="X12" s="65"/>
      <c r="Y12" s="65"/>
      <c r="Z12" s="65"/>
      <c r="AA12" s="65"/>
      <c r="AB12" s="65"/>
      <c r="AC12" s="65"/>
      <c r="AD12" s="65"/>
      <c r="AE12" s="65"/>
    </row>
    <row r="13" spans="1:31" x14ac:dyDescent="0.2">
      <c r="A13" s="3" t="s">
        <v>8</v>
      </c>
      <c r="B13" s="4"/>
      <c r="C13" s="4"/>
      <c r="D13" s="4"/>
      <c r="E13" s="4"/>
      <c r="F13" s="4"/>
      <c r="G13" s="4"/>
      <c r="H13" s="4">
        <f>H300</f>
        <v>5712000</v>
      </c>
      <c r="I13" s="4">
        <f>I300</f>
        <v>2304000</v>
      </c>
      <c r="J13" s="19">
        <f>J300</f>
        <v>220000</v>
      </c>
      <c r="K13" s="4"/>
      <c r="L13" s="4"/>
      <c r="M13" s="4"/>
      <c r="N13" s="4"/>
      <c r="O13" s="4"/>
      <c r="P13" s="4"/>
      <c r="Q13" s="36"/>
      <c r="R13" s="4"/>
      <c r="S13" s="4"/>
      <c r="T13" s="4"/>
      <c r="U13" s="82">
        <f t="shared" si="1"/>
        <v>8236000</v>
      </c>
      <c r="V13" s="65"/>
      <c r="W13" s="74"/>
      <c r="X13" s="65"/>
      <c r="Y13" s="65"/>
      <c r="Z13" s="65"/>
      <c r="AA13" s="65"/>
      <c r="AB13" s="65"/>
      <c r="AC13" s="65"/>
      <c r="AD13" s="65"/>
      <c r="AE13" s="65"/>
    </row>
    <row r="14" spans="1:31" x14ac:dyDescent="0.2">
      <c r="A14" s="3" t="s">
        <v>9</v>
      </c>
      <c r="B14" s="4"/>
      <c r="C14" s="4"/>
      <c r="D14" s="4"/>
      <c r="E14" s="4"/>
      <c r="F14" s="4"/>
      <c r="G14" s="4"/>
      <c r="H14" s="4">
        <f>H338</f>
        <v>6563200</v>
      </c>
      <c r="I14" s="4">
        <f>I338</f>
        <v>2160000</v>
      </c>
      <c r="J14" s="19">
        <f>J338</f>
        <v>200000</v>
      </c>
      <c r="K14" s="4"/>
      <c r="L14" s="4"/>
      <c r="M14" s="4"/>
      <c r="N14" s="4"/>
      <c r="O14" s="4"/>
      <c r="P14" s="4"/>
      <c r="Q14" s="36"/>
      <c r="R14" s="4"/>
      <c r="S14" s="4"/>
      <c r="T14" s="4"/>
      <c r="U14" s="82">
        <f t="shared" si="1"/>
        <v>8923200</v>
      </c>
      <c r="V14" s="65"/>
      <c r="W14" s="74"/>
      <c r="X14" s="65"/>
      <c r="Y14" s="65"/>
      <c r="Z14" s="65"/>
      <c r="AA14" s="65"/>
      <c r="AB14" s="65"/>
      <c r="AC14" s="65"/>
      <c r="AD14" s="65"/>
      <c r="AE14" s="65"/>
    </row>
    <row r="15" spans="1:31" x14ac:dyDescent="0.2">
      <c r="A15" s="3" t="s">
        <v>10</v>
      </c>
      <c r="B15" s="4"/>
      <c r="C15" s="4"/>
      <c r="D15" s="4"/>
      <c r="E15" s="4"/>
      <c r="F15" s="4"/>
      <c r="G15" s="4"/>
      <c r="H15" s="4">
        <f>H373</f>
        <v>6608000</v>
      </c>
      <c r="I15" s="4">
        <f>I373</f>
        <v>2448000</v>
      </c>
      <c r="J15" s="4">
        <f>J373</f>
        <v>200000</v>
      </c>
      <c r="K15" s="4"/>
      <c r="L15" s="4"/>
      <c r="M15" s="4"/>
      <c r="N15" s="4"/>
      <c r="O15" s="4"/>
      <c r="P15" s="4"/>
      <c r="Q15" s="37"/>
      <c r="R15" s="4"/>
      <c r="S15" s="4"/>
      <c r="T15" s="4"/>
      <c r="U15" s="82">
        <f t="shared" si="1"/>
        <v>9256000</v>
      </c>
      <c r="V15" s="65"/>
      <c r="W15" s="74"/>
      <c r="X15" s="65"/>
      <c r="Y15" s="65"/>
      <c r="Z15" s="65"/>
      <c r="AA15" s="65"/>
      <c r="AB15" s="65"/>
      <c r="AC15" s="65"/>
      <c r="AD15" s="65"/>
      <c r="AE15" s="65"/>
    </row>
    <row r="16" spans="1:31" x14ac:dyDescent="0.2">
      <c r="A16" s="3" t="s">
        <v>132</v>
      </c>
      <c r="B16" s="4"/>
      <c r="C16" s="4"/>
      <c r="D16" s="4"/>
      <c r="E16" s="4"/>
      <c r="F16" s="4"/>
      <c r="G16" s="4"/>
      <c r="H16" s="4">
        <f>H410</f>
        <v>44800</v>
      </c>
      <c r="I16" s="4">
        <f>I410</f>
        <v>0</v>
      </c>
      <c r="J16" s="4">
        <f>J410</f>
        <v>0</v>
      </c>
      <c r="K16" s="4"/>
      <c r="L16" s="4"/>
      <c r="M16" s="4"/>
      <c r="N16" s="4"/>
      <c r="O16" s="4"/>
      <c r="P16" s="4"/>
      <c r="Q16" s="37"/>
      <c r="R16" s="4"/>
      <c r="S16" s="4"/>
      <c r="T16" s="4"/>
      <c r="U16" s="28">
        <f t="shared" si="1"/>
        <v>44800</v>
      </c>
      <c r="V16" s="65"/>
      <c r="W16" s="75"/>
      <c r="X16" s="65"/>
      <c r="Y16" s="65"/>
      <c r="Z16" s="65"/>
      <c r="AA16" s="65"/>
      <c r="AB16" s="65"/>
      <c r="AC16" s="65"/>
      <c r="AD16" s="65"/>
      <c r="AE16" s="65"/>
    </row>
    <row r="17" spans="1:31" x14ac:dyDescent="0.2">
      <c r="A17" s="3" t="s">
        <v>11</v>
      </c>
      <c r="B17" s="4"/>
      <c r="C17" s="4"/>
      <c r="D17" s="4"/>
      <c r="E17" s="4"/>
      <c r="F17" s="4"/>
      <c r="G17" s="4"/>
      <c r="H17" s="4">
        <f>H447</f>
        <v>0</v>
      </c>
      <c r="I17" s="4">
        <f>I447</f>
        <v>0</v>
      </c>
      <c r="J17" s="4">
        <f>J447</f>
        <v>440000</v>
      </c>
      <c r="K17" s="4"/>
      <c r="L17" s="4"/>
      <c r="M17" s="4"/>
      <c r="N17" s="4"/>
      <c r="O17" s="4"/>
      <c r="P17" s="4"/>
      <c r="Q17" s="37"/>
      <c r="R17" s="4"/>
      <c r="S17" s="4"/>
      <c r="T17" s="4"/>
      <c r="U17" s="28">
        <f t="shared" si="1"/>
        <v>440000</v>
      </c>
      <c r="V17" s="65"/>
      <c r="W17" s="75"/>
      <c r="X17" s="65"/>
      <c r="Y17" s="65"/>
      <c r="Z17" s="65"/>
      <c r="AA17" s="65"/>
      <c r="AB17" s="65"/>
      <c r="AC17" s="65"/>
      <c r="AD17" s="65"/>
      <c r="AE17" s="65"/>
    </row>
    <row r="18" spans="1:31" s="63" customFormat="1" x14ac:dyDescent="0.2">
      <c r="A18" s="61" t="s">
        <v>143</v>
      </c>
      <c r="B18" s="41"/>
      <c r="C18" s="41"/>
      <c r="D18" s="41"/>
      <c r="E18" s="41"/>
      <c r="F18" s="41"/>
      <c r="G18" s="41"/>
      <c r="H18" s="41">
        <v>4000000</v>
      </c>
      <c r="I18" s="41">
        <f>I486</f>
        <v>0</v>
      </c>
      <c r="J18" s="41">
        <v>390000</v>
      </c>
      <c r="K18" s="41"/>
      <c r="L18" s="41">
        <v>300000</v>
      </c>
      <c r="M18" s="41">
        <v>1202240</v>
      </c>
      <c r="N18" s="62"/>
      <c r="O18" s="41">
        <v>194460</v>
      </c>
      <c r="P18" s="41">
        <v>7000000</v>
      </c>
      <c r="Q18" s="41">
        <v>400000</v>
      </c>
      <c r="R18" s="41"/>
      <c r="S18" s="62"/>
      <c r="T18" s="62"/>
      <c r="U18" s="83">
        <f>SUM(H18:T18)</f>
        <v>13486700</v>
      </c>
      <c r="V18" s="69"/>
      <c r="W18" s="69"/>
      <c r="X18" s="69"/>
      <c r="Y18" s="69"/>
      <c r="Z18" s="69"/>
      <c r="AA18" s="69"/>
      <c r="AB18" s="69"/>
      <c r="AC18" s="69"/>
      <c r="AD18" s="69"/>
      <c r="AE18" s="69"/>
    </row>
    <row r="19" spans="1:31" ht="18.75" x14ac:dyDescent="0.3">
      <c r="A19" s="33" t="s">
        <v>151</v>
      </c>
      <c r="B19" s="33"/>
      <c r="C19" s="33"/>
      <c r="D19" s="33"/>
      <c r="E19" s="33"/>
      <c r="F19" s="33"/>
      <c r="G19" s="33"/>
      <c r="H19" s="44"/>
      <c r="I19" s="70"/>
      <c r="J19" s="33"/>
      <c r="K19" s="33"/>
      <c r="L19" s="33"/>
      <c r="M19" s="33"/>
      <c r="N19" s="44"/>
      <c r="O19" s="33"/>
      <c r="P19" s="33"/>
      <c r="Q19" s="33"/>
      <c r="R19" s="33"/>
      <c r="S19" s="33"/>
      <c r="T19" s="33"/>
      <c r="U19" s="43"/>
      <c r="V19" s="65"/>
      <c r="W19" s="65"/>
      <c r="X19" s="65"/>
      <c r="Y19" s="65"/>
      <c r="Z19" s="65"/>
      <c r="AA19" s="65"/>
      <c r="AB19" s="65"/>
      <c r="AC19" s="65"/>
      <c r="AD19" s="65"/>
      <c r="AE19" s="65"/>
    </row>
    <row r="20" spans="1:31" ht="13.5" x14ac:dyDescent="0.25">
      <c r="A20" s="59" t="s">
        <v>152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65"/>
      <c r="W20" s="65"/>
      <c r="X20" s="65"/>
      <c r="Y20" s="65"/>
      <c r="Z20" s="65"/>
      <c r="AA20" s="65"/>
      <c r="AB20" s="65"/>
      <c r="AC20" s="65"/>
      <c r="AD20" s="65"/>
      <c r="AE20" s="65"/>
    </row>
    <row r="21" spans="1:31" ht="19.5" customHeight="1" x14ac:dyDescent="0.25">
      <c r="A21" s="59" t="s">
        <v>155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65"/>
      <c r="W21" s="65"/>
      <c r="X21" s="65"/>
      <c r="Y21" s="65"/>
      <c r="Z21" s="65"/>
      <c r="AA21" s="65"/>
      <c r="AB21" s="65"/>
      <c r="AC21" s="65"/>
      <c r="AD21" s="65"/>
      <c r="AE21" s="65"/>
    </row>
    <row r="22" spans="1:31" ht="13.5" x14ac:dyDescent="0.25">
      <c r="A22" s="59" t="s">
        <v>153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65"/>
      <c r="W22" s="66"/>
      <c r="X22" s="65"/>
      <c r="Y22" s="65"/>
      <c r="Z22" s="65"/>
      <c r="AA22" s="65"/>
      <c r="AB22" s="65"/>
      <c r="AC22" s="65"/>
      <c r="AD22" s="65"/>
      <c r="AE22" s="65"/>
    </row>
    <row r="23" spans="1:31" ht="13.5" x14ac:dyDescent="0.25">
      <c r="A23" s="59" t="s">
        <v>156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65"/>
      <c r="W23" s="66"/>
      <c r="X23" s="65"/>
      <c r="Y23" s="65"/>
      <c r="Z23" s="65"/>
      <c r="AA23" s="65"/>
      <c r="AB23" s="65"/>
      <c r="AC23" s="65"/>
      <c r="AD23" s="65"/>
      <c r="AE23" s="65"/>
    </row>
    <row r="24" spans="1:31" ht="13.5" x14ac:dyDescent="0.25">
      <c r="A24" s="59" t="s">
        <v>154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65"/>
      <c r="W24" s="65"/>
      <c r="X24" s="65"/>
      <c r="Y24" s="65"/>
      <c r="Z24" s="65"/>
      <c r="AA24" s="65"/>
      <c r="AB24" s="65"/>
      <c r="AC24" s="65"/>
      <c r="AD24" s="65"/>
      <c r="AE24" s="65"/>
    </row>
    <row r="25" spans="1:31" ht="13.5" x14ac:dyDescent="0.25">
      <c r="A25" s="59" t="s">
        <v>157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65"/>
      <c r="W25" s="65"/>
      <c r="X25" s="65"/>
      <c r="Y25" s="65"/>
      <c r="Z25" s="65"/>
      <c r="AA25" s="65"/>
      <c r="AB25" s="65"/>
      <c r="AC25" s="65"/>
      <c r="AD25" s="65"/>
      <c r="AE25" s="65"/>
    </row>
    <row r="26" spans="1:31" ht="13.5" x14ac:dyDescent="0.25">
      <c r="A26" s="59" t="s">
        <v>164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65"/>
      <c r="W26" s="65"/>
      <c r="X26" s="65"/>
      <c r="Y26" s="65"/>
      <c r="Z26" s="65"/>
      <c r="AA26" s="65"/>
      <c r="AB26" s="65"/>
      <c r="AC26" s="65"/>
      <c r="AD26" s="65"/>
      <c r="AE26" s="65"/>
    </row>
    <row r="27" spans="1:31" ht="13.5" x14ac:dyDescent="0.25">
      <c r="A27" s="59" t="s">
        <v>165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65"/>
      <c r="W27" s="65"/>
      <c r="X27" s="65"/>
      <c r="Y27" s="65"/>
      <c r="Z27" s="65"/>
      <c r="AA27" s="65"/>
      <c r="AB27" s="65"/>
      <c r="AC27" s="65"/>
      <c r="AD27" s="65"/>
      <c r="AE27" s="65"/>
    </row>
    <row r="28" spans="1:31" ht="13.5" x14ac:dyDescent="0.25">
      <c r="A28" s="59" t="s">
        <v>159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65"/>
      <c r="W28" s="65"/>
      <c r="X28" s="65"/>
      <c r="Y28" s="65"/>
      <c r="Z28" s="65"/>
      <c r="AA28" s="65"/>
      <c r="AB28" s="65"/>
      <c r="AC28" s="65"/>
      <c r="AD28" s="65"/>
      <c r="AE28" s="65"/>
    </row>
    <row r="29" spans="1:31" ht="13.5" x14ac:dyDescent="0.25">
      <c r="A29" s="59" t="s">
        <v>166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65"/>
      <c r="W29" s="65"/>
      <c r="X29" s="65"/>
      <c r="Y29" s="65"/>
      <c r="Z29" s="65"/>
      <c r="AA29" s="65"/>
      <c r="AB29" s="65"/>
      <c r="AC29" s="65"/>
      <c r="AD29" s="65"/>
      <c r="AE29" s="65"/>
    </row>
    <row r="30" spans="1:31" ht="13.5" x14ac:dyDescent="0.25">
      <c r="A30" s="59" t="s">
        <v>167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65"/>
      <c r="W30" s="65"/>
      <c r="X30" s="65"/>
      <c r="Y30" s="65"/>
      <c r="Z30" s="65"/>
      <c r="AA30" s="65"/>
      <c r="AB30" s="65"/>
      <c r="AC30" s="65"/>
      <c r="AD30" s="65"/>
      <c r="AE30" s="65"/>
    </row>
    <row r="31" spans="1:31" ht="17.25" x14ac:dyDescent="0.2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68"/>
      <c r="W31" s="65"/>
      <c r="X31" s="65"/>
      <c r="Y31" s="65"/>
      <c r="Z31" s="65"/>
      <c r="AA31" s="65"/>
      <c r="AB31" s="65"/>
      <c r="AC31" s="65"/>
      <c r="AD31" s="65"/>
      <c r="AE31" s="65"/>
    </row>
    <row r="32" spans="1:31" ht="18" x14ac:dyDescent="0.3">
      <c r="A32" s="94" t="s">
        <v>184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68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7.25" x14ac:dyDescent="0.2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68"/>
      <c r="W33" s="65"/>
      <c r="X33" s="65"/>
      <c r="Y33" s="65"/>
      <c r="Z33" s="65"/>
      <c r="AA33" s="65"/>
      <c r="AB33" s="65"/>
      <c r="AC33" s="65"/>
      <c r="AD33" s="65"/>
      <c r="AE33" s="65"/>
    </row>
    <row r="34" spans="1:31" ht="17.25" x14ac:dyDescent="0.2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68"/>
      <c r="W34" s="65"/>
      <c r="X34" s="65"/>
      <c r="Y34" s="65"/>
      <c r="Z34" s="65"/>
      <c r="AA34" s="65"/>
      <c r="AB34" s="65"/>
      <c r="AC34" s="65"/>
      <c r="AD34" s="65"/>
      <c r="AE34" s="65"/>
    </row>
    <row r="35" spans="1:31" ht="17.25" x14ac:dyDescent="0.2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68"/>
      <c r="W35" s="65"/>
      <c r="X35" s="65"/>
      <c r="Y35" s="65"/>
      <c r="Z35" s="65"/>
      <c r="AA35" s="65"/>
      <c r="AB35" s="65"/>
      <c r="AC35" s="65"/>
      <c r="AD35" s="65"/>
      <c r="AE35" s="65"/>
    </row>
    <row r="36" spans="1:31" ht="15" customHeight="1" x14ac:dyDescent="0.2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0"/>
      <c r="T36" s="50"/>
      <c r="U36" s="50"/>
      <c r="V36" s="65"/>
      <c r="W36" s="65"/>
      <c r="X36" s="65"/>
      <c r="Y36" s="65"/>
      <c r="Z36" s="65"/>
      <c r="AA36" s="65"/>
      <c r="AB36" s="65"/>
      <c r="AC36" s="65"/>
      <c r="AD36" s="65"/>
      <c r="AE36" s="65"/>
    </row>
    <row r="37" spans="1:31" x14ac:dyDescent="0.2">
      <c r="A37" t="s">
        <v>1</v>
      </c>
      <c r="V37" s="65"/>
      <c r="W37" s="65"/>
      <c r="X37" s="65"/>
      <c r="Y37" s="65"/>
      <c r="Z37" s="65"/>
      <c r="AA37" s="65"/>
      <c r="AB37" s="65"/>
      <c r="AC37" s="65"/>
      <c r="AD37" s="65"/>
      <c r="AE37" s="65"/>
    </row>
    <row r="38" spans="1:31" x14ac:dyDescent="0.2">
      <c r="A38" s="14" t="s">
        <v>0</v>
      </c>
      <c r="B38" s="14" t="s">
        <v>46</v>
      </c>
      <c r="C38" s="14" t="s">
        <v>26</v>
      </c>
      <c r="D38" s="14" t="s">
        <v>46</v>
      </c>
      <c r="E38" s="14" t="s">
        <v>28</v>
      </c>
      <c r="F38" s="14" t="s">
        <v>43</v>
      </c>
      <c r="G38" s="14" t="s">
        <v>43</v>
      </c>
      <c r="H38" s="14" t="s">
        <v>14</v>
      </c>
      <c r="I38" s="14" t="s">
        <v>138</v>
      </c>
      <c r="J38" s="14" t="s">
        <v>30</v>
      </c>
      <c r="K38" s="14" t="s">
        <v>135</v>
      </c>
      <c r="L38" s="14" t="s">
        <v>13</v>
      </c>
      <c r="M38" s="14" t="s">
        <v>13</v>
      </c>
      <c r="N38" s="14" t="s">
        <v>31</v>
      </c>
      <c r="O38" s="14" t="s">
        <v>33</v>
      </c>
      <c r="P38" s="14" t="s">
        <v>33</v>
      </c>
      <c r="Q38" s="14" t="s">
        <v>145</v>
      </c>
      <c r="R38" s="14" t="s">
        <v>35</v>
      </c>
      <c r="S38" s="34" t="s">
        <v>37</v>
      </c>
      <c r="T38" s="14" t="s">
        <v>39</v>
      </c>
      <c r="U38" s="14" t="s">
        <v>41</v>
      </c>
      <c r="V38" s="65"/>
      <c r="W38" s="65"/>
      <c r="X38" s="65"/>
      <c r="Y38" s="65"/>
      <c r="Z38" s="65"/>
      <c r="AA38" s="65"/>
      <c r="AB38" s="65"/>
      <c r="AC38" s="65"/>
      <c r="AD38" s="65"/>
      <c r="AE38" s="65"/>
    </row>
    <row r="39" spans="1:31" ht="13.5" thickBot="1" x14ac:dyDescent="0.25">
      <c r="A39" s="18"/>
      <c r="B39" s="18" t="s">
        <v>48</v>
      </c>
      <c r="C39" s="18" t="s">
        <v>27</v>
      </c>
      <c r="D39" s="18" t="s">
        <v>47</v>
      </c>
      <c r="E39" s="18" t="s">
        <v>29</v>
      </c>
      <c r="F39" s="18" t="s">
        <v>44</v>
      </c>
      <c r="G39" s="18" t="s">
        <v>45</v>
      </c>
      <c r="H39" s="21" t="s">
        <v>137</v>
      </c>
      <c r="I39" s="18" t="s">
        <v>139</v>
      </c>
      <c r="J39" s="18" t="s">
        <v>146</v>
      </c>
      <c r="K39" s="18" t="s">
        <v>136</v>
      </c>
      <c r="L39" s="18" t="s">
        <v>134</v>
      </c>
      <c r="M39" s="18" t="s">
        <v>160</v>
      </c>
      <c r="N39" s="18" t="s">
        <v>32</v>
      </c>
      <c r="O39" s="18" t="s">
        <v>34</v>
      </c>
      <c r="P39" s="18" t="s">
        <v>133</v>
      </c>
      <c r="Q39" s="42" t="s">
        <v>144</v>
      </c>
      <c r="R39" s="18" t="s">
        <v>36</v>
      </c>
      <c r="S39" s="35" t="s">
        <v>38</v>
      </c>
      <c r="T39" s="18" t="s">
        <v>40</v>
      </c>
      <c r="U39" s="18" t="s">
        <v>42</v>
      </c>
      <c r="V39" s="65"/>
      <c r="W39" s="65"/>
      <c r="X39" s="65"/>
      <c r="Y39" s="65"/>
      <c r="Z39" s="65"/>
      <c r="AA39" s="65"/>
      <c r="AB39" s="65"/>
      <c r="AC39" s="65"/>
      <c r="AD39" s="65"/>
      <c r="AE39" s="65"/>
    </row>
    <row r="40" spans="1:31" ht="13.5" thickBot="1" x14ac:dyDescent="0.25">
      <c r="A40" s="24" t="s">
        <v>16</v>
      </c>
      <c r="B40" s="25"/>
      <c r="C40" s="25"/>
      <c r="D40" s="25"/>
      <c r="E40" s="25"/>
      <c r="F40" s="25"/>
      <c r="G40" s="25"/>
      <c r="H40" s="26">
        <f>H42+H43+H44+H45+H46+H47+H48+H49+H50</f>
        <v>4928000</v>
      </c>
      <c r="I40" s="26">
        <f>I42+I43+I44+I45+I46+I47+I48+I49+I50</f>
        <v>3840000</v>
      </c>
      <c r="J40" s="26">
        <f>J41+J42+J43+J44+J45+J46+J47+J48+J49+J50</f>
        <v>240000</v>
      </c>
      <c r="K40" s="25"/>
      <c r="L40" s="25"/>
      <c r="M40" s="25"/>
      <c r="N40" s="26"/>
      <c r="O40" s="26"/>
      <c r="P40" s="25"/>
      <c r="Q40" s="25"/>
      <c r="R40" s="25"/>
      <c r="S40" s="25"/>
      <c r="T40" s="25"/>
      <c r="U40" s="78">
        <f>H40+I40+J40+N40+O40</f>
        <v>9008000</v>
      </c>
      <c r="V40" s="65"/>
      <c r="W40" s="65"/>
      <c r="X40" s="65"/>
      <c r="Y40" s="65"/>
      <c r="Z40" s="65"/>
      <c r="AA40" s="65"/>
      <c r="AB40" s="65"/>
      <c r="AC40" s="65"/>
      <c r="AD40" s="65"/>
      <c r="AE40" s="65"/>
    </row>
    <row r="41" spans="1:31" x14ac:dyDescent="0.2">
      <c r="A41" s="19" t="s">
        <v>1</v>
      </c>
      <c r="B41" s="19"/>
      <c r="C41" s="19"/>
      <c r="D41" s="19"/>
      <c r="E41" s="19"/>
      <c r="F41" s="19"/>
      <c r="G41" s="19"/>
      <c r="H41" s="22"/>
      <c r="I41" s="36"/>
      <c r="J41" s="19">
        <v>60000</v>
      </c>
      <c r="K41" s="19"/>
      <c r="L41" s="19"/>
      <c r="M41" s="19"/>
      <c r="N41" s="23"/>
      <c r="O41" s="23"/>
      <c r="P41" s="19"/>
      <c r="Q41" s="23"/>
      <c r="R41" s="19"/>
      <c r="S41" s="19"/>
      <c r="T41" s="19"/>
      <c r="U41" s="19">
        <f>H41+I41+J41+N41</f>
        <v>60000</v>
      </c>
      <c r="V41" s="65"/>
      <c r="W41" s="65"/>
      <c r="X41" s="65"/>
      <c r="Y41" s="65"/>
      <c r="Z41" s="65"/>
      <c r="AA41" s="65"/>
      <c r="AB41" s="65"/>
      <c r="AC41" s="65"/>
      <c r="AD41" s="65"/>
      <c r="AE41" s="65"/>
    </row>
    <row r="42" spans="1:31" x14ac:dyDescent="0.2">
      <c r="A42" s="4" t="s">
        <v>49</v>
      </c>
      <c r="B42" s="4"/>
      <c r="C42" s="4"/>
      <c r="D42" s="4"/>
      <c r="E42" s="4"/>
      <c r="F42" s="4"/>
      <c r="G42" s="4"/>
      <c r="H42" s="4">
        <v>504000</v>
      </c>
      <c r="I42" s="4">
        <f>48000*8</f>
        <v>384000</v>
      </c>
      <c r="J42" s="4">
        <v>20000</v>
      </c>
      <c r="K42" s="4"/>
      <c r="L42" s="4"/>
      <c r="M42" s="4"/>
      <c r="N42" s="4"/>
      <c r="O42" s="8"/>
      <c r="P42" s="4"/>
      <c r="Q42" s="4"/>
      <c r="R42" s="4"/>
      <c r="S42" s="4"/>
      <c r="T42" s="4"/>
      <c r="U42" s="4">
        <f>H42+I42+J42</f>
        <v>908000</v>
      </c>
      <c r="V42" s="65"/>
      <c r="W42" s="65"/>
      <c r="X42" s="65"/>
      <c r="Y42" s="65"/>
      <c r="Z42" s="65"/>
      <c r="AA42" s="65"/>
      <c r="AB42" s="65"/>
      <c r="AC42" s="65"/>
      <c r="AD42" s="65"/>
      <c r="AE42" s="65"/>
    </row>
    <row r="43" spans="1:31" x14ac:dyDescent="0.2">
      <c r="A43" s="4" t="s">
        <v>50</v>
      </c>
      <c r="B43" s="4"/>
      <c r="C43" s="4"/>
      <c r="D43" s="4"/>
      <c r="E43" s="4"/>
      <c r="F43" s="4"/>
      <c r="G43" s="4"/>
      <c r="H43" s="4">
        <v>616000</v>
      </c>
      <c r="I43" s="4">
        <f>48000*11</f>
        <v>528000</v>
      </c>
      <c r="J43" s="4">
        <v>20000</v>
      </c>
      <c r="K43" s="4"/>
      <c r="L43" s="4"/>
      <c r="M43" s="4"/>
      <c r="N43" s="4"/>
      <c r="O43" s="8"/>
      <c r="P43" s="4"/>
      <c r="Q43" s="4"/>
      <c r="R43" s="4"/>
      <c r="S43" s="4"/>
      <c r="T43" s="4"/>
      <c r="U43" s="4">
        <f t="shared" ref="U43:U50" si="2">H43+I43+J43</f>
        <v>1164000</v>
      </c>
      <c r="V43" s="65"/>
      <c r="W43" s="65"/>
      <c r="X43" s="65"/>
      <c r="Y43" s="65"/>
      <c r="Z43" s="65"/>
      <c r="AA43" s="65"/>
      <c r="AB43" s="65"/>
      <c r="AC43" s="65"/>
      <c r="AD43" s="65"/>
      <c r="AE43" s="65"/>
    </row>
    <row r="44" spans="1:31" x14ac:dyDescent="0.2">
      <c r="A44" s="4" t="s">
        <v>51</v>
      </c>
      <c r="B44" s="4"/>
      <c r="C44" s="4"/>
      <c r="D44" s="4"/>
      <c r="E44" s="4"/>
      <c r="F44" s="4"/>
      <c r="G44" s="4"/>
      <c r="H44" s="4">
        <v>616000</v>
      </c>
      <c r="I44" s="4">
        <f>48000*8</f>
        <v>384000</v>
      </c>
      <c r="J44" s="4">
        <v>20000</v>
      </c>
      <c r="K44" s="4"/>
      <c r="L44" s="4"/>
      <c r="M44" s="4"/>
      <c r="N44" s="4"/>
      <c r="O44" s="8"/>
      <c r="P44" s="4"/>
      <c r="Q44" s="4"/>
      <c r="R44" s="4"/>
      <c r="S44" s="4"/>
      <c r="T44" s="4"/>
      <c r="U44" s="4">
        <f t="shared" si="2"/>
        <v>1020000</v>
      </c>
      <c r="V44" s="65"/>
      <c r="W44" s="65"/>
      <c r="X44" s="65"/>
      <c r="Y44" s="65"/>
      <c r="Z44" s="65"/>
      <c r="AA44" s="65"/>
      <c r="AB44" s="65"/>
      <c r="AC44" s="65"/>
      <c r="AD44" s="65"/>
      <c r="AE44" s="65"/>
    </row>
    <row r="45" spans="1:31" x14ac:dyDescent="0.2">
      <c r="A45" s="4" t="s">
        <v>52</v>
      </c>
      <c r="B45" s="4"/>
      <c r="C45" s="4"/>
      <c r="D45" s="4"/>
      <c r="E45" s="4"/>
      <c r="F45" s="4"/>
      <c r="G45" s="4"/>
      <c r="H45" s="4">
        <v>448000</v>
      </c>
      <c r="I45" s="4">
        <f>48000*8</f>
        <v>384000</v>
      </c>
      <c r="J45" s="4">
        <v>20000</v>
      </c>
      <c r="K45" s="4"/>
      <c r="L45" s="4"/>
      <c r="M45" s="4"/>
      <c r="N45" s="4"/>
      <c r="O45" s="8"/>
      <c r="P45" s="4"/>
      <c r="Q45" s="4"/>
      <c r="R45" s="4"/>
      <c r="S45" s="4"/>
      <c r="T45" s="4"/>
      <c r="U45" s="4">
        <f t="shared" si="2"/>
        <v>852000</v>
      </c>
      <c r="V45" s="65"/>
      <c r="W45" s="65"/>
      <c r="X45" s="65"/>
      <c r="Y45" s="65"/>
      <c r="Z45" s="65"/>
      <c r="AA45" s="65"/>
      <c r="AB45" s="65"/>
      <c r="AC45" s="65"/>
      <c r="AD45" s="65"/>
      <c r="AE45" s="65"/>
    </row>
    <row r="46" spans="1:31" x14ac:dyDescent="0.2">
      <c r="A46" s="4" t="s">
        <v>53</v>
      </c>
      <c r="B46" s="4"/>
      <c r="C46" s="4"/>
      <c r="D46" s="4"/>
      <c r="E46" s="4"/>
      <c r="F46" s="4"/>
      <c r="G46" s="4"/>
      <c r="H46" s="4">
        <v>504000</v>
      </c>
      <c r="I46" s="4">
        <f>48000*9</f>
        <v>432000</v>
      </c>
      <c r="J46" s="4">
        <v>20000</v>
      </c>
      <c r="K46" s="4"/>
      <c r="L46" s="4"/>
      <c r="M46" s="4"/>
      <c r="N46" s="4"/>
      <c r="O46" s="8"/>
      <c r="P46" s="4"/>
      <c r="Q46" s="4"/>
      <c r="R46" s="4"/>
      <c r="S46" s="4"/>
      <c r="T46" s="4"/>
      <c r="U46" s="4">
        <f t="shared" si="2"/>
        <v>956000</v>
      </c>
      <c r="V46" s="65"/>
      <c r="W46" s="65"/>
      <c r="X46" s="65"/>
      <c r="Y46" s="65"/>
      <c r="Z46" s="65"/>
      <c r="AA46" s="65"/>
      <c r="AB46" s="65"/>
      <c r="AC46" s="65"/>
      <c r="AD46" s="65"/>
      <c r="AE46" s="65"/>
    </row>
    <row r="47" spans="1:31" x14ac:dyDescent="0.2">
      <c r="A47" s="4" t="s">
        <v>54</v>
      </c>
      <c r="B47" s="4"/>
      <c r="C47" s="4"/>
      <c r="D47" s="4"/>
      <c r="E47" s="4"/>
      <c r="F47" s="4"/>
      <c r="G47" s="4"/>
      <c r="H47" s="4">
        <v>448000</v>
      </c>
      <c r="I47" s="4">
        <f>48000*8</f>
        <v>384000</v>
      </c>
      <c r="J47" s="4">
        <v>20000</v>
      </c>
      <c r="K47" s="4"/>
      <c r="L47" s="4"/>
      <c r="M47" s="4"/>
      <c r="N47" s="4"/>
      <c r="O47" s="8"/>
      <c r="P47" s="4"/>
      <c r="Q47" s="4"/>
      <c r="R47" s="4"/>
      <c r="S47" s="4"/>
      <c r="T47" s="4"/>
      <c r="U47" s="4">
        <f t="shared" si="2"/>
        <v>852000</v>
      </c>
      <c r="V47" s="65"/>
      <c r="W47" s="65"/>
      <c r="X47" s="65"/>
      <c r="Y47" s="65"/>
      <c r="Z47" s="65"/>
      <c r="AA47" s="65"/>
      <c r="AB47" s="65"/>
      <c r="AC47" s="65"/>
      <c r="AD47" s="65"/>
      <c r="AE47" s="65"/>
    </row>
    <row r="48" spans="1:31" x14ac:dyDescent="0.2">
      <c r="A48" s="4" t="s">
        <v>55</v>
      </c>
      <c r="B48" s="4"/>
      <c r="C48" s="4"/>
      <c r="D48" s="4"/>
      <c r="E48" s="4"/>
      <c r="F48" s="4"/>
      <c r="G48" s="4"/>
      <c r="H48" s="4">
        <v>616000</v>
      </c>
      <c r="I48" s="4">
        <f>48000*10</f>
        <v>480000</v>
      </c>
      <c r="J48" s="4">
        <v>20000</v>
      </c>
      <c r="K48" s="4"/>
      <c r="L48" s="4"/>
      <c r="M48" s="4"/>
      <c r="N48" s="4"/>
      <c r="O48" s="8"/>
      <c r="P48" s="4"/>
      <c r="Q48" s="4"/>
      <c r="R48" s="4"/>
      <c r="S48" s="4"/>
      <c r="T48" s="4"/>
      <c r="U48" s="4">
        <f t="shared" si="2"/>
        <v>1116000</v>
      </c>
      <c r="V48" s="65"/>
      <c r="W48" s="65"/>
      <c r="X48" s="65"/>
      <c r="Y48" s="65"/>
      <c r="Z48" s="65"/>
      <c r="AA48" s="65"/>
      <c r="AB48" s="65"/>
      <c r="AC48" s="65"/>
      <c r="AD48" s="65"/>
      <c r="AE48" s="65"/>
    </row>
    <row r="49" spans="1:31" x14ac:dyDescent="0.2">
      <c r="A49" s="4" t="s">
        <v>56</v>
      </c>
      <c r="B49" s="4"/>
      <c r="C49" s="4"/>
      <c r="D49" s="4"/>
      <c r="E49" s="4"/>
      <c r="F49" s="4"/>
      <c r="G49" s="4"/>
      <c r="H49" s="4">
        <v>616000</v>
      </c>
      <c r="I49" s="4">
        <f>48000*8</f>
        <v>384000</v>
      </c>
      <c r="J49" s="4">
        <v>20000</v>
      </c>
      <c r="K49" s="4"/>
      <c r="L49" s="4"/>
      <c r="M49" s="4"/>
      <c r="N49" s="4"/>
      <c r="O49" s="8"/>
      <c r="P49" s="4"/>
      <c r="Q49" s="4"/>
      <c r="R49" s="4"/>
      <c r="S49" s="4"/>
      <c r="T49" s="4"/>
      <c r="U49" s="4">
        <f t="shared" si="2"/>
        <v>1020000</v>
      </c>
      <c r="V49" s="65"/>
      <c r="W49" s="65"/>
      <c r="X49" s="65"/>
      <c r="Y49" s="65"/>
      <c r="Z49" s="65"/>
      <c r="AA49" s="65"/>
      <c r="AB49" s="65"/>
      <c r="AC49" s="65"/>
      <c r="AD49" s="65"/>
      <c r="AE49" s="65"/>
    </row>
    <row r="50" spans="1:31" x14ac:dyDescent="0.2">
      <c r="A50" s="4" t="s">
        <v>57</v>
      </c>
      <c r="B50" s="4"/>
      <c r="C50" s="4"/>
      <c r="D50" s="4"/>
      <c r="E50" s="4"/>
      <c r="F50" s="4"/>
      <c r="G50" s="4"/>
      <c r="H50" s="4">
        <v>560000</v>
      </c>
      <c r="I50" s="4">
        <f>48000*10</f>
        <v>480000</v>
      </c>
      <c r="J50" s="4">
        <v>20000</v>
      </c>
      <c r="K50" s="4"/>
      <c r="L50" s="4"/>
      <c r="M50" s="4"/>
      <c r="N50" s="4"/>
      <c r="O50" s="8"/>
      <c r="P50" s="4"/>
      <c r="Q50" s="4"/>
      <c r="R50" s="4"/>
      <c r="S50" s="4"/>
      <c r="T50" s="4"/>
      <c r="U50" s="4">
        <f t="shared" si="2"/>
        <v>1060000</v>
      </c>
      <c r="V50" s="65"/>
      <c r="W50" s="65"/>
      <c r="X50" s="65"/>
      <c r="Y50" s="65"/>
      <c r="Z50" s="65"/>
      <c r="AA50" s="65"/>
      <c r="AB50" s="65"/>
      <c r="AC50" s="65"/>
      <c r="AD50" s="65"/>
      <c r="AE50" s="65"/>
    </row>
    <row r="51" spans="1:31" x14ac:dyDescent="0.2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6"/>
      <c r="P51" s="45"/>
      <c r="Q51" s="45"/>
      <c r="R51" s="45"/>
      <c r="S51" s="45"/>
      <c r="T51" s="45"/>
      <c r="U51" s="45"/>
      <c r="V51" s="65"/>
      <c r="W51" s="65"/>
      <c r="X51" s="65"/>
      <c r="Y51" s="65"/>
      <c r="Z51" s="65"/>
      <c r="AA51" s="65"/>
      <c r="AB51" s="65"/>
      <c r="AC51" s="65"/>
      <c r="AD51" s="65"/>
      <c r="AE51" s="65"/>
    </row>
    <row r="52" spans="1:31" ht="18.75" x14ac:dyDescent="0.3">
      <c r="A52" s="33" t="s">
        <v>151</v>
      </c>
      <c r="B52" s="33"/>
      <c r="C52" s="33"/>
      <c r="D52" s="33"/>
      <c r="E52" s="33"/>
      <c r="F52" s="33"/>
      <c r="G52" s="33"/>
      <c r="H52" s="44"/>
      <c r="I52" s="33"/>
      <c r="J52" s="33"/>
      <c r="K52" s="33"/>
      <c r="L52" s="33"/>
      <c r="M52" s="33"/>
      <c r="N52" s="44"/>
      <c r="O52" s="33"/>
      <c r="P52" s="33"/>
      <c r="Q52" s="33"/>
      <c r="R52" s="33"/>
      <c r="S52" s="33"/>
      <c r="T52" s="33"/>
      <c r="U52" s="43"/>
      <c r="V52" s="65"/>
      <c r="W52" s="65"/>
      <c r="X52" s="65"/>
      <c r="Y52" s="65"/>
      <c r="Z52" s="65"/>
      <c r="AA52" s="65"/>
      <c r="AB52" s="65"/>
      <c r="AC52" s="65"/>
      <c r="AD52" s="65"/>
      <c r="AE52" s="65"/>
    </row>
    <row r="53" spans="1:31" ht="13.5" x14ac:dyDescent="0.25">
      <c r="A53" s="59" t="s">
        <v>152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65"/>
      <c r="W53" s="65"/>
      <c r="X53" s="65"/>
      <c r="Y53" s="65"/>
      <c r="Z53" s="65"/>
      <c r="AA53" s="65"/>
      <c r="AB53" s="65"/>
      <c r="AC53" s="65"/>
      <c r="AD53" s="65"/>
      <c r="AE53" s="65"/>
    </row>
    <row r="54" spans="1:31" ht="13.5" x14ac:dyDescent="0.25">
      <c r="A54" s="59" t="s">
        <v>155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65"/>
      <c r="W54" s="65"/>
      <c r="X54" s="65"/>
      <c r="Y54" s="65"/>
      <c r="Z54" s="65"/>
      <c r="AA54" s="65"/>
      <c r="AB54" s="65"/>
      <c r="AC54" s="65"/>
      <c r="AD54" s="65"/>
      <c r="AE54" s="65"/>
    </row>
    <row r="55" spans="1:31" ht="13.5" x14ac:dyDescent="0.25">
      <c r="A55" s="59" t="s">
        <v>153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65"/>
      <c r="W55" s="65"/>
      <c r="X55" s="65"/>
      <c r="Y55" s="65"/>
      <c r="Z55" s="65"/>
      <c r="AA55" s="65"/>
      <c r="AB55" s="65"/>
      <c r="AC55" s="65"/>
      <c r="AD55" s="65"/>
      <c r="AE55" s="65"/>
    </row>
    <row r="56" spans="1:31" ht="13.5" x14ac:dyDescent="0.25">
      <c r="A56" s="59" t="s">
        <v>156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65"/>
      <c r="W56" s="65"/>
      <c r="X56" s="65"/>
      <c r="Y56" s="65"/>
      <c r="Z56" s="65"/>
      <c r="AA56" s="65"/>
      <c r="AB56" s="65"/>
      <c r="AC56" s="65"/>
      <c r="AD56" s="65"/>
      <c r="AE56" s="65"/>
    </row>
    <row r="57" spans="1:31" ht="13.5" x14ac:dyDescent="0.25">
      <c r="A57" s="59" t="s">
        <v>154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65"/>
      <c r="W57" s="65"/>
      <c r="X57" s="65"/>
      <c r="Y57" s="65"/>
      <c r="Z57" s="65"/>
      <c r="AA57" s="65"/>
      <c r="AB57" s="65"/>
      <c r="AC57" s="65"/>
      <c r="AD57" s="65"/>
      <c r="AE57" s="65"/>
    </row>
    <row r="58" spans="1:31" ht="13.5" x14ac:dyDescent="0.25">
      <c r="A58" s="59" t="s">
        <v>157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65"/>
      <c r="W58" s="65"/>
      <c r="X58" s="65"/>
      <c r="Y58" s="65"/>
      <c r="Z58" s="65"/>
      <c r="AA58" s="65"/>
      <c r="AB58" s="65"/>
      <c r="AC58" s="65"/>
      <c r="AD58" s="65"/>
      <c r="AE58" s="65"/>
    </row>
    <row r="59" spans="1:31" ht="13.5" x14ac:dyDescent="0.25">
      <c r="A59" s="59" t="s">
        <v>164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65"/>
      <c r="W59" s="65"/>
      <c r="X59" s="65"/>
      <c r="Y59" s="65"/>
      <c r="Z59" s="65"/>
      <c r="AA59" s="65"/>
      <c r="AB59" s="65"/>
      <c r="AC59" s="65"/>
      <c r="AD59" s="65"/>
      <c r="AE59" s="65"/>
    </row>
    <row r="60" spans="1:31" ht="13.5" x14ac:dyDescent="0.25">
      <c r="A60" s="59" t="s">
        <v>165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65"/>
      <c r="W60" s="65"/>
      <c r="X60" s="65"/>
      <c r="Y60" s="65"/>
      <c r="Z60" s="65"/>
      <c r="AA60" s="65"/>
      <c r="AB60" s="65"/>
      <c r="AC60" s="65"/>
      <c r="AD60" s="65"/>
      <c r="AE60" s="65"/>
    </row>
    <row r="61" spans="1:31" ht="13.5" x14ac:dyDescent="0.25">
      <c r="A61" s="59" t="s">
        <v>159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65"/>
      <c r="W61" s="65"/>
      <c r="X61" s="65"/>
      <c r="Y61" s="65"/>
      <c r="Z61" s="65"/>
      <c r="AA61" s="65"/>
      <c r="AB61" s="65"/>
      <c r="AC61" s="65"/>
      <c r="AD61" s="65"/>
      <c r="AE61" s="65"/>
    </row>
    <row r="62" spans="1:31" ht="13.5" x14ac:dyDescent="0.25">
      <c r="A62" s="59" t="s">
        <v>166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65"/>
      <c r="W62" s="65"/>
      <c r="X62" s="65"/>
      <c r="Y62" s="65"/>
      <c r="Z62" s="65"/>
      <c r="AA62" s="65"/>
      <c r="AB62" s="65"/>
      <c r="AC62" s="65"/>
      <c r="AD62" s="65"/>
      <c r="AE62" s="65"/>
    </row>
    <row r="63" spans="1:31" ht="13.5" x14ac:dyDescent="0.25">
      <c r="A63" s="59" t="s">
        <v>167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65"/>
      <c r="W63" s="65"/>
      <c r="X63" s="65"/>
      <c r="Y63" s="65"/>
      <c r="Z63" s="65"/>
      <c r="AA63" s="65"/>
      <c r="AB63" s="65"/>
      <c r="AC63" s="65"/>
      <c r="AD63" s="65"/>
      <c r="AE63" s="65"/>
    </row>
    <row r="64" spans="1:31" ht="14.25" x14ac:dyDescent="0.2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0"/>
      <c r="O64" s="50"/>
      <c r="P64" s="50"/>
      <c r="Q64" s="50"/>
      <c r="R64" s="50"/>
      <c r="S64" s="50"/>
      <c r="T64" s="50"/>
      <c r="U64" s="50"/>
      <c r="V64" s="65"/>
      <c r="W64" s="65"/>
      <c r="X64" s="65"/>
      <c r="Y64" s="65"/>
      <c r="Z64" s="65"/>
      <c r="AA64" s="65"/>
      <c r="AB64" s="65"/>
      <c r="AC64" s="65"/>
      <c r="AD64" s="65"/>
      <c r="AE64" s="65"/>
    </row>
    <row r="65" spans="1:31" ht="17.25" x14ac:dyDescent="0.3">
      <c r="A65" s="94" t="s">
        <v>184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0"/>
      <c r="O65" s="50"/>
      <c r="P65" s="50"/>
      <c r="Q65" s="50"/>
      <c r="R65" s="50"/>
      <c r="S65" s="50"/>
      <c r="T65" s="50"/>
      <c r="U65" s="50"/>
      <c r="V65" s="65"/>
      <c r="W65" s="65"/>
      <c r="X65" s="65"/>
      <c r="Y65" s="65"/>
      <c r="Z65" s="65"/>
      <c r="AA65" s="65"/>
      <c r="AB65" s="65"/>
      <c r="AC65" s="65"/>
      <c r="AD65" s="65"/>
      <c r="AE65" s="65"/>
    </row>
    <row r="66" spans="1:31" ht="14.25" x14ac:dyDescent="0.2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0"/>
      <c r="O66" s="50"/>
      <c r="P66" s="50"/>
      <c r="Q66" s="50"/>
      <c r="R66" s="50"/>
      <c r="S66" s="50"/>
      <c r="T66" s="50"/>
      <c r="U66" s="50"/>
      <c r="V66" s="65"/>
      <c r="W66" s="65"/>
      <c r="X66" s="65"/>
      <c r="Y66" s="65"/>
      <c r="Z66" s="65"/>
      <c r="AA66" s="65"/>
      <c r="AB66" s="65"/>
      <c r="AC66" s="65"/>
      <c r="AD66" s="65"/>
      <c r="AE66" s="65"/>
    </row>
    <row r="67" spans="1:31" ht="14.25" x14ac:dyDescent="0.2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0"/>
      <c r="O67" s="50"/>
      <c r="P67" s="50"/>
      <c r="Q67" s="50"/>
      <c r="R67" s="50"/>
      <c r="S67" s="50"/>
      <c r="T67" s="50"/>
      <c r="U67" s="50"/>
      <c r="V67" s="65"/>
      <c r="W67" s="65"/>
      <c r="X67" s="65"/>
      <c r="Y67" s="65"/>
      <c r="Z67" s="65"/>
      <c r="AA67" s="65"/>
      <c r="AB67" s="65"/>
      <c r="AC67" s="65"/>
      <c r="AD67" s="65"/>
      <c r="AE67" s="65"/>
    </row>
    <row r="68" spans="1:31" ht="14.25" x14ac:dyDescent="0.2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0"/>
      <c r="O68" s="50"/>
      <c r="P68" s="50"/>
      <c r="Q68" s="50"/>
      <c r="R68" s="50"/>
      <c r="S68" s="50"/>
      <c r="T68" s="50"/>
      <c r="U68" s="50"/>
      <c r="V68" s="65"/>
      <c r="W68" s="65"/>
      <c r="X68" s="65"/>
      <c r="Y68" s="65"/>
      <c r="Z68" s="65"/>
      <c r="AA68" s="65"/>
      <c r="AB68" s="65"/>
      <c r="AC68" s="65"/>
      <c r="AD68" s="65"/>
      <c r="AE68" s="65"/>
    </row>
    <row r="69" spans="1:31" ht="14.25" x14ac:dyDescent="0.2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0"/>
      <c r="O69" s="50"/>
      <c r="P69" s="50"/>
      <c r="Q69" s="50"/>
      <c r="R69" s="50"/>
      <c r="S69" s="50"/>
      <c r="T69" s="50"/>
      <c r="U69" s="50"/>
      <c r="V69" s="65"/>
      <c r="W69" s="65"/>
      <c r="X69" s="65"/>
      <c r="Y69" s="65"/>
      <c r="Z69" s="65"/>
      <c r="AA69" s="65"/>
      <c r="AB69" s="65"/>
      <c r="AC69" s="65"/>
      <c r="AD69" s="65"/>
      <c r="AE69" s="65"/>
    </row>
    <row r="70" spans="1:31" ht="14.25" x14ac:dyDescent="0.2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0"/>
      <c r="O70" s="50"/>
      <c r="P70" s="50"/>
      <c r="Q70" s="50"/>
      <c r="R70" s="50"/>
      <c r="S70" s="50"/>
      <c r="T70" s="50"/>
      <c r="U70" s="50"/>
      <c r="V70" s="65"/>
      <c r="W70" s="65"/>
      <c r="X70" s="65"/>
      <c r="Y70" s="65"/>
      <c r="Z70" s="65"/>
      <c r="AA70" s="65"/>
      <c r="AB70" s="65"/>
      <c r="AC70" s="65"/>
      <c r="AD70" s="65"/>
      <c r="AE70" s="65"/>
    </row>
    <row r="71" spans="1:31" ht="18.75" x14ac:dyDescent="0.3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65"/>
      <c r="W71" s="65"/>
      <c r="X71" s="65"/>
      <c r="Y71" s="65"/>
      <c r="Z71" s="65"/>
      <c r="AA71" s="65"/>
      <c r="AB71" s="65"/>
      <c r="AC71" s="65"/>
      <c r="AD71" s="65"/>
      <c r="AE71" s="65"/>
    </row>
    <row r="72" spans="1:31" x14ac:dyDescent="0.2">
      <c r="V72" s="65"/>
      <c r="W72" s="65"/>
      <c r="X72" s="65"/>
      <c r="Y72" s="65"/>
      <c r="Z72" s="65"/>
      <c r="AA72" s="65"/>
      <c r="AB72" s="65"/>
      <c r="AC72" s="65"/>
      <c r="AD72" s="65"/>
      <c r="AE72" s="65"/>
    </row>
    <row r="73" spans="1:31" x14ac:dyDescent="0.2">
      <c r="A73" s="6" t="s">
        <v>2</v>
      </c>
      <c r="V73" s="65"/>
      <c r="W73" s="65"/>
      <c r="X73" s="65"/>
      <c r="Y73" s="65"/>
      <c r="Z73" s="65"/>
      <c r="AA73" s="65"/>
      <c r="AB73" s="65"/>
      <c r="AC73" s="65"/>
      <c r="AD73" s="65"/>
      <c r="AE73" s="65"/>
    </row>
    <row r="74" spans="1:31" x14ac:dyDescent="0.2">
      <c r="V74" s="65"/>
      <c r="W74" s="65"/>
      <c r="X74" s="65"/>
      <c r="Y74" s="65"/>
      <c r="Z74" s="65"/>
      <c r="AA74" s="65"/>
      <c r="AB74" s="65"/>
      <c r="AC74" s="65"/>
      <c r="AD74" s="65"/>
      <c r="AE74" s="65"/>
    </row>
    <row r="75" spans="1:31" x14ac:dyDescent="0.2">
      <c r="A75" s="14" t="s">
        <v>0</v>
      </c>
      <c r="B75" s="14" t="s">
        <v>46</v>
      </c>
      <c r="C75" s="14" t="s">
        <v>26</v>
      </c>
      <c r="D75" s="14" t="s">
        <v>46</v>
      </c>
      <c r="E75" s="14" t="s">
        <v>28</v>
      </c>
      <c r="F75" s="14" t="s">
        <v>43</v>
      </c>
      <c r="G75" s="14" t="s">
        <v>43</v>
      </c>
      <c r="H75" s="14" t="s">
        <v>14</v>
      </c>
      <c r="I75" s="14" t="s">
        <v>138</v>
      </c>
      <c r="J75" s="14" t="s">
        <v>30</v>
      </c>
      <c r="K75" s="14" t="s">
        <v>135</v>
      </c>
      <c r="L75" s="14" t="s">
        <v>13</v>
      </c>
      <c r="M75" s="14" t="s">
        <v>13</v>
      </c>
      <c r="N75" s="14" t="s">
        <v>31</v>
      </c>
      <c r="O75" s="14" t="s">
        <v>33</v>
      </c>
      <c r="P75" s="14" t="s">
        <v>33</v>
      </c>
      <c r="Q75" s="14" t="s">
        <v>145</v>
      </c>
      <c r="R75" s="14" t="s">
        <v>35</v>
      </c>
      <c r="S75" s="34" t="s">
        <v>37</v>
      </c>
      <c r="T75" s="14" t="s">
        <v>39</v>
      </c>
      <c r="U75" s="14" t="s">
        <v>41</v>
      </c>
      <c r="V75" s="53"/>
      <c r="W75" s="52"/>
      <c r="X75" s="52"/>
      <c r="Y75" s="53"/>
      <c r="Z75" s="65"/>
      <c r="AA75" s="65"/>
      <c r="AB75" s="65"/>
      <c r="AC75" s="65"/>
      <c r="AD75" s="65"/>
      <c r="AE75" s="65"/>
    </row>
    <row r="76" spans="1:31" ht="13.5" thickBot="1" x14ac:dyDescent="0.25">
      <c r="A76" s="18"/>
      <c r="B76" s="18" t="s">
        <v>48</v>
      </c>
      <c r="C76" s="18" t="s">
        <v>27</v>
      </c>
      <c r="D76" s="18" t="s">
        <v>47</v>
      </c>
      <c r="E76" s="18" t="s">
        <v>29</v>
      </c>
      <c r="F76" s="18" t="s">
        <v>44</v>
      </c>
      <c r="G76" s="18" t="s">
        <v>45</v>
      </c>
      <c r="H76" s="21" t="s">
        <v>137</v>
      </c>
      <c r="I76" s="18" t="s">
        <v>139</v>
      </c>
      <c r="J76" s="18" t="s">
        <v>146</v>
      </c>
      <c r="K76" s="18" t="s">
        <v>136</v>
      </c>
      <c r="L76" s="18" t="s">
        <v>134</v>
      </c>
      <c r="M76" s="18" t="s">
        <v>160</v>
      </c>
      <c r="N76" s="18" t="s">
        <v>32</v>
      </c>
      <c r="O76" s="18" t="s">
        <v>34</v>
      </c>
      <c r="P76" s="18" t="s">
        <v>133</v>
      </c>
      <c r="Q76" s="42" t="s">
        <v>144</v>
      </c>
      <c r="R76" s="18" t="s">
        <v>36</v>
      </c>
      <c r="S76" s="35" t="s">
        <v>38</v>
      </c>
      <c r="T76" s="18" t="s">
        <v>40</v>
      </c>
      <c r="U76" s="18" t="s">
        <v>42</v>
      </c>
      <c r="V76" s="53"/>
      <c r="W76" s="52"/>
      <c r="X76" s="52"/>
      <c r="Y76" s="53"/>
      <c r="Z76" s="65"/>
      <c r="AA76" s="65"/>
      <c r="AB76" s="65"/>
      <c r="AC76" s="65"/>
      <c r="AD76" s="65"/>
      <c r="AE76" s="65"/>
    </row>
    <row r="77" spans="1:31" ht="13.5" thickBot="1" x14ac:dyDescent="0.25">
      <c r="A77" s="24" t="s">
        <v>17</v>
      </c>
      <c r="B77" s="25"/>
      <c r="C77" s="25"/>
      <c r="D77" s="25"/>
      <c r="E77" s="25"/>
      <c r="F77" s="25"/>
      <c r="G77" s="25"/>
      <c r="H77" s="26">
        <f>H79+H80+H81+H82+H83+H84+H85+H86+H87</f>
        <v>7022400</v>
      </c>
      <c r="I77" s="26">
        <f>I79+I80+I81+I82+I83+I84+I85+I86+I87</f>
        <v>3120000</v>
      </c>
      <c r="J77" s="27">
        <f>J78+J79+J80+J81+J82+J83+J84+J85+J86+J87</f>
        <v>240000</v>
      </c>
      <c r="K77" s="25"/>
      <c r="L77" s="25"/>
      <c r="M77" s="25"/>
      <c r="N77" s="27"/>
      <c r="O77" s="27"/>
      <c r="P77" s="25"/>
      <c r="Q77" s="25"/>
      <c r="R77" s="25"/>
      <c r="S77" s="25"/>
      <c r="T77" s="25"/>
      <c r="U77" s="31">
        <f>H77+I77+J77+N77+O77</f>
        <v>10382400</v>
      </c>
      <c r="V77" s="53"/>
      <c r="W77" s="54"/>
      <c r="X77" s="54"/>
      <c r="Y77" s="53"/>
      <c r="Z77" s="65"/>
      <c r="AA77" s="65"/>
      <c r="AB77" s="65"/>
      <c r="AC77" s="65"/>
      <c r="AD77" s="65"/>
      <c r="AE77" s="65"/>
    </row>
    <row r="78" spans="1:31" x14ac:dyDescent="0.2">
      <c r="A78" s="19" t="s">
        <v>2</v>
      </c>
      <c r="B78" s="19"/>
      <c r="C78" s="19"/>
      <c r="D78" s="19"/>
      <c r="E78" s="19"/>
      <c r="F78" s="19"/>
      <c r="G78" s="19"/>
      <c r="H78" s="19"/>
      <c r="I78" s="19"/>
      <c r="J78" s="19">
        <v>60000</v>
      </c>
      <c r="K78" s="19"/>
      <c r="L78" s="19"/>
      <c r="M78" s="19"/>
      <c r="N78" s="22"/>
      <c r="O78" s="22"/>
      <c r="P78" s="19"/>
      <c r="Q78" s="22"/>
      <c r="R78" s="19"/>
      <c r="S78" s="19"/>
      <c r="T78" s="19"/>
      <c r="U78" s="19">
        <f>J78+Q78</f>
        <v>60000</v>
      </c>
      <c r="V78" s="53"/>
      <c r="W78" s="55"/>
      <c r="X78" s="55"/>
      <c r="Y78" s="53"/>
      <c r="Z78" s="65"/>
      <c r="AA78" s="65"/>
      <c r="AB78" s="65"/>
      <c r="AC78" s="65"/>
      <c r="AD78" s="65"/>
      <c r="AE78" s="65"/>
    </row>
    <row r="79" spans="1:31" x14ac:dyDescent="0.2">
      <c r="A79" s="4" t="s">
        <v>58</v>
      </c>
      <c r="B79" s="4"/>
      <c r="C79" s="4"/>
      <c r="D79" s="4"/>
      <c r="E79" s="4"/>
      <c r="F79" s="4"/>
      <c r="G79" s="4"/>
      <c r="H79" s="4">
        <v>683200</v>
      </c>
      <c r="I79" s="4">
        <f>48000*2</f>
        <v>96000</v>
      </c>
      <c r="J79" s="4">
        <v>20000</v>
      </c>
      <c r="K79" s="4"/>
      <c r="L79" s="4"/>
      <c r="M79" s="4"/>
      <c r="N79" s="4"/>
      <c r="O79" s="9"/>
      <c r="P79" s="4"/>
      <c r="Q79" s="4"/>
      <c r="R79" s="4"/>
      <c r="S79" s="4"/>
      <c r="T79" s="4"/>
      <c r="U79" s="4">
        <f>H79+I79+J79</f>
        <v>799200</v>
      </c>
      <c r="V79" s="45"/>
      <c r="W79" s="55"/>
      <c r="X79" s="55"/>
      <c r="Y79" s="56"/>
      <c r="Z79" s="65"/>
      <c r="AA79" s="65"/>
      <c r="AB79" s="65"/>
      <c r="AC79" s="65"/>
      <c r="AD79" s="65"/>
      <c r="AE79" s="65"/>
    </row>
    <row r="80" spans="1:31" x14ac:dyDescent="0.2">
      <c r="A80" s="4" t="s">
        <v>59</v>
      </c>
      <c r="B80" s="4"/>
      <c r="C80" s="4"/>
      <c r="D80" s="4"/>
      <c r="E80" s="4"/>
      <c r="F80" s="4"/>
      <c r="G80" s="4"/>
      <c r="H80" s="4">
        <v>616000</v>
      </c>
      <c r="I80" s="4">
        <f>48000*10</f>
        <v>480000</v>
      </c>
      <c r="J80" s="4">
        <v>20000</v>
      </c>
      <c r="K80" s="4"/>
      <c r="L80" s="4"/>
      <c r="M80" s="4"/>
      <c r="N80" s="4"/>
      <c r="O80" s="9"/>
      <c r="P80" s="4"/>
      <c r="Q80" s="4"/>
      <c r="R80" s="4"/>
      <c r="S80" s="4"/>
      <c r="T80" s="4"/>
      <c r="U80" s="4">
        <f t="shared" ref="U80:U87" si="3">H80+I80+J80</f>
        <v>1116000</v>
      </c>
      <c r="V80" s="45"/>
      <c r="W80" s="55"/>
      <c r="X80" s="55"/>
      <c r="Y80" s="56"/>
      <c r="Z80" s="65"/>
      <c r="AA80" s="65"/>
      <c r="AB80" s="65"/>
      <c r="AC80" s="65"/>
      <c r="AD80" s="65"/>
      <c r="AE80" s="65"/>
    </row>
    <row r="81" spans="1:31" x14ac:dyDescent="0.2">
      <c r="A81" s="4" t="s">
        <v>60</v>
      </c>
      <c r="B81" s="4"/>
      <c r="C81" s="4"/>
      <c r="D81" s="4"/>
      <c r="E81" s="4"/>
      <c r="F81" s="4"/>
      <c r="G81" s="4"/>
      <c r="H81" s="4">
        <v>784000</v>
      </c>
      <c r="I81" s="4">
        <f>48000*13</f>
        <v>624000</v>
      </c>
      <c r="J81" s="4">
        <v>20000</v>
      </c>
      <c r="K81" s="4"/>
      <c r="L81" s="4"/>
      <c r="M81" s="4"/>
      <c r="N81" s="4"/>
      <c r="O81" s="9"/>
      <c r="P81" s="4"/>
      <c r="Q81" s="4"/>
      <c r="R81" s="4"/>
      <c r="S81" s="4"/>
      <c r="T81" s="4"/>
      <c r="U81" s="4">
        <f t="shared" si="3"/>
        <v>1428000</v>
      </c>
      <c r="V81" s="45"/>
      <c r="W81" s="55"/>
      <c r="X81" s="55"/>
      <c r="Y81" s="56"/>
      <c r="Z81" s="65"/>
      <c r="AA81" s="65"/>
      <c r="AB81" s="65"/>
      <c r="AC81" s="65"/>
      <c r="AD81" s="65"/>
      <c r="AE81" s="65"/>
    </row>
    <row r="82" spans="1:31" x14ac:dyDescent="0.2">
      <c r="A82" s="60" t="s">
        <v>61</v>
      </c>
      <c r="B82" s="4"/>
      <c r="C82" s="4"/>
      <c r="D82" s="4"/>
      <c r="E82" s="4"/>
      <c r="F82" s="4"/>
      <c r="G82" s="4"/>
      <c r="H82" s="4">
        <v>1355200</v>
      </c>
      <c r="I82" s="4">
        <f>48000*9</f>
        <v>432000</v>
      </c>
      <c r="J82" s="4">
        <v>20000</v>
      </c>
      <c r="K82" s="4"/>
      <c r="L82" s="4"/>
      <c r="M82" s="4"/>
      <c r="N82" s="4"/>
      <c r="O82" s="9"/>
      <c r="P82" s="4"/>
      <c r="Q82" s="4"/>
      <c r="R82" s="4"/>
      <c r="S82" s="4"/>
      <c r="T82" s="4"/>
      <c r="U82" s="4">
        <f t="shared" si="3"/>
        <v>1807200</v>
      </c>
      <c r="V82" s="45"/>
      <c r="W82" s="55"/>
      <c r="X82" s="55"/>
      <c r="Y82" s="56"/>
      <c r="Z82" s="65"/>
      <c r="AA82" s="65"/>
      <c r="AB82" s="65"/>
      <c r="AC82" s="65"/>
      <c r="AD82" s="65"/>
      <c r="AE82" s="65"/>
    </row>
    <row r="83" spans="1:31" x14ac:dyDescent="0.2">
      <c r="A83" s="4" t="s">
        <v>62</v>
      </c>
      <c r="B83" s="4"/>
      <c r="C83" s="4"/>
      <c r="D83" s="4"/>
      <c r="E83" s="4"/>
      <c r="F83" s="4"/>
      <c r="G83" s="4"/>
      <c r="H83" s="4">
        <v>1052800</v>
      </c>
      <c r="I83" s="4">
        <f>48000*6</f>
        <v>288000</v>
      </c>
      <c r="J83" s="4">
        <v>20000</v>
      </c>
      <c r="K83" s="4"/>
      <c r="L83" s="4"/>
      <c r="M83" s="4"/>
      <c r="N83" s="4"/>
      <c r="O83" s="9"/>
      <c r="P83" s="4"/>
      <c r="Q83" s="4"/>
      <c r="R83" s="4"/>
      <c r="S83" s="4"/>
      <c r="T83" s="4"/>
      <c r="U83" s="4">
        <f t="shared" si="3"/>
        <v>1360800</v>
      </c>
      <c r="V83" s="45"/>
      <c r="W83" s="55"/>
      <c r="X83" s="55"/>
      <c r="Y83" s="56"/>
      <c r="Z83" s="65"/>
      <c r="AA83" s="65"/>
      <c r="AB83" s="65"/>
      <c r="AC83" s="65"/>
      <c r="AD83" s="65"/>
      <c r="AE83" s="65"/>
    </row>
    <row r="84" spans="1:31" x14ac:dyDescent="0.2">
      <c r="A84" s="4" t="s">
        <v>63</v>
      </c>
      <c r="B84" s="4"/>
      <c r="C84" s="4"/>
      <c r="D84" s="4"/>
      <c r="E84" s="4"/>
      <c r="F84" s="4"/>
      <c r="G84" s="4"/>
      <c r="H84" s="4">
        <v>784000</v>
      </c>
      <c r="I84" s="4">
        <f>48000*10</f>
        <v>480000</v>
      </c>
      <c r="J84" s="4">
        <v>20000</v>
      </c>
      <c r="K84" s="4"/>
      <c r="L84" s="4"/>
      <c r="M84" s="4"/>
      <c r="N84" s="4"/>
      <c r="O84" s="9"/>
      <c r="P84" s="4"/>
      <c r="Q84" s="4"/>
      <c r="R84" s="4"/>
      <c r="S84" s="4"/>
      <c r="T84" s="4"/>
      <c r="U84" s="4">
        <f t="shared" si="3"/>
        <v>1284000</v>
      </c>
      <c r="V84" s="45"/>
      <c r="W84" s="55"/>
      <c r="X84" s="55"/>
      <c r="Y84" s="56"/>
      <c r="Z84" s="65"/>
      <c r="AA84" s="65"/>
      <c r="AB84" s="65"/>
      <c r="AC84" s="65"/>
      <c r="AD84" s="65"/>
      <c r="AE84" s="65"/>
    </row>
    <row r="85" spans="1:31" x14ac:dyDescent="0.2">
      <c r="A85" s="4" t="s">
        <v>64</v>
      </c>
      <c r="B85" s="4"/>
      <c r="C85" s="4"/>
      <c r="D85" s="4"/>
      <c r="E85" s="4"/>
      <c r="F85" s="4"/>
      <c r="G85" s="4"/>
      <c r="H85" s="4">
        <v>817600</v>
      </c>
      <c r="I85" s="4">
        <f>48000*8</f>
        <v>384000</v>
      </c>
      <c r="J85" s="4">
        <v>20000</v>
      </c>
      <c r="K85" s="4"/>
      <c r="L85" s="4"/>
      <c r="M85" s="4"/>
      <c r="N85" s="4"/>
      <c r="O85" s="9"/>
      <c r="P85" s="4"/>
      <c r="Q85" s="4"/>
      <c r="R85" s="4"/>
      <c r="S85" s="4"/>
      <c r="T85" s="4"/>
      <c r="U85" s="4">
        <f t="shared" si="3"/>
        <v>1221600</v>
      </c>
      <c r="V85" s="45"/>
      <c r="W85" s="55"/>
      <c r="X85" s="55"/>
      <c r="Y85" s="56"/>
      <c r="Z85" s="65"/>
      <c r="AA85" s="65"/>
      <c r="AB85" s="65"/>
      <c r="AC85" s="65"/>
      <c r="AD85" s="65"/>
      <c r="AE85" s="65"/>
    </row>
    <row r="86" spans="1:31" x14ac:dyDescent="0.2">
      <c r="A86" s="4" t="s">
        <v>65</v>
      </c>
      <c r="B86" s="4"/>
      <c r="C86" s="4"/>
      <c r="D86" s="4"/>
      <c r="E86" s="4"/>
      <c r="F86" s="4"/>
      <c r="G86" s="4"/>
      <c r="H86" s="4">
        <v>369600</v>
      </c>
      <c r="I86" s="4">
        <f>48000*4</f>
        <v>192000</v>
      </c>
      <c r="J86" s="4">
        <v>20000</v>
      </c>
      <c r="K86" s="4"/>
      <c r="L86" s="4"/>
      <c r="M86" s="4"/>
      <c r="N86" s="4"/>
      <c r="O86" s="9"/>
      <c r="P86" s="4"/>
      <c r="Q86" s="4"/>
      <c r="R86" s="4"/>
      <c r="S86" s="4"/>
      <c r="T86" s="4"/>
      <c r="U86" s="4">
        <f t="shared" si="3"/>
        <v>581600</v>
      </c>
      <c r="V86" s="45"/>
      <c r="W86" s="55"/>
      <c r="X86" s="55"/>
      <c r="Y86" s="56"/>
      <c r="Z86" s="65"/>
      <c r="AA86" s="65"/>
      <c r="AB86" s="65"/>
      <c r="AC86" s="65"/>
      <c r="AD86" s="65"/>
      <c r="AE86" s="65"/>
    </row>
    <row r="87" spans="1:31" x14ac:dyDescent="0.2">
      <c r="A87" s="4" t="s">
        <v>131</v>
      </c>
      <c r="B87" s="4"/>
      <c r="C87" s="4"/>
      <c r="D87" s="4"/>
      <c r="E87" s="4"/>
      <c r="F87" s="4"/>
      <c r="G87" s="4"/>
      <c r="H87" s="4">
        <v>560000</v>
      </c>
      <c r="I87" s="4">
        <f>48000*3</f>
        <v>144000</v>
      </c>
      <c r="J87" s="4">
        <v>20000</v>
      </c>
      <c r="K87" s="4"/>
      <c r="L87" s="4"/>
      <c r="M87" s="4"/>
      <c r="N87" s="4"/>
      <c r="O87" s="9"/>
      <c r="P87" s="4"/>
      <c r="Q87" s="4"/>
      <c r="R87" s="4"/>
      <c r="S87" s="4"/>
      <c r="T87" s="4"/>
      <c r="U87" s="4">
        <f t="shared" si="3"/>
        <v>724000</v>
      </c>
      <c r="V87" s="45"/>
      <c r="W87" s="55"/>
      <c r="X87" s="55"/>
      <c r="Y87" s="56"/>
      <c r="Z87" s="65"/>
      <c r="AA87" s="65"/>
      <c r="AB87" s="65"/>
      <c r="AC87" s="65"/>
      <c r="AD87" s="65"/>
      <c r="AE87" s="65"/>
    </row>
    <row r="88" spans="1:31" x14ac:dyDescent="0.2">
      <c r="H88" s="13"/>
      <c r="I88" s="13"/>
      <c r="J88" s="5"/>
      <c r="N88" s="7"/>
      <c r="O88" s="5"/>
      <c r="U88" s="10"/>
      <c r="V88" s="65"/>
      <c r="W88" s="65"/>
      <c r="X88" s="65"/>
      <c r="Y88" s="65"/>
      <c r="Z88" s="65"/>
      <c r="AA88" s="65"/>
      <c r="AB88" s="65"/>
      <c r="AC88" s="65"/>
      <c r="AD88" s="65"/>
      <c r="AE88" s="65"/>
    </row>
    <row r="89" spans="1:31" ht="18.75" x14ac:dyDescent="0.3">
      <c r="A89" s="33" t="s">
        <v>151</v>
      </c>
      <c r="B89" s="33"/>
      <c r="C89" s="33"/>
      <c r="D89" s="33"/>
      <c r="E89" s="33"/>
      <c r="F89" s="33"/>
      <c r="G89" s="33"/>
      <c r="H89" s="44"/>
      <c r="I89" s="33"/>
      <c r="J89" s="33"/>
      <c r="K89" s="33"/>
      <c r="L89" s="33"/>
      <c r="M89" s="33"/>
      <c r="N89" s="44"/>
      <c r="O89" s="33"/>
      <c r="P89" s="33"/>
      <c r="Q89" s="33"/>
      <c r="R89" s="33"/>
      <c r="S89" s="33"/>
      <c r="T89" s="33"/>
      <c r="U89" s="43"/>
      <c r="V89" s="65"/>
      <c r="W89" s="65"/>
      <c r="X89" s="65"/>
      <c r="Y89" s="65"/>
      <c r="Z89" s="65"/>
      <c r="AA89" s="65"/>
      <c r="AB89" s="65"/>
      <c r="AC89" s="65"/>
      <c r="AD89" s="65"/>
      <c r="AE89" s="65"/>
    </row>
    <row r="90" spans="1:31" ht="13.5" x14ac:dyDescent="0.25">
      <c r="A90" s="59" t="s">
        <v>152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65"/>
      <c r="W90" s="65"/>
      <c r="X90" s="65"/>
      <c r="Y90" s="65"/>
      <c r="Z90" s="65"/>
      <c r="AA90" s="65"/>
      <c r="AB90" s="65"/>
      <c r="AC90" s="65"/>
      <c r="AD90" s="65"/>
      <c r="AE90" s="65"/>
    </row>
    <row r="91" spans="1:31" ht="13.5" x14ac:dyDescent="0.25">
      <c r="A91" s="59" t="s">
        <v>155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65"/>
      <c r="W91" s="65"/>
      <c r="X91" s="65"/>
      <c r="Y91" s="65"/>
      <c r="Z91" s="65"/>
      <c r="AA91" s="65"/>
      <c r="AB91" s="65"/>
      <c r="AC91" s="65"/>
      <c r="AD91" s="65"/>
      <c r="AE91" s="65"/>
    </row>
    <row r="92" spans="1:31" ht="13.5" x14ac:dyDescent="0.25">
      <c r="A92" s="59" t="s">
        <v>153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65"/>
      <c r="W92" s="65"/>
      <c r="X92" s="65"/>
      <c r="Y92" s="65"/>
      <c r="Z92" s="65"/>
      <c r="AA92" s="65"/>
      <c r="AB92" s="65"/>
      <c r="AC92" s="65"/>
      <c r="AD92" s="65"/>
      <c r="AE92" s="65"/>
    </row>
    <row r="93" spans="1:31" ht="13.5" x14ac:dyDescent="0.25">
      <c r="A93" s="59" t="s">
        <v>156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65"/>
      <c r="W93" s="65"/>
      <c r="X93" s="65"/>
      <c r="Y93" s="65"/>
      <c r="Z93" s="65"/>
      <c r="AA93" s="65"/>
      <c r="AB93" s="65"/>
      <c r="AC93" s="65"/>
      <c r="AD93" s="65"/>
      <c r="AE93" s="65"/>
    </row>
    <row r="94" spans="1:31" ht="13.5" x14ac:dyDescent="0.25">
      <c r="A94" s="59" t="s">
        <v>154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65"/>
      <c r="W94" s="65"/>
      <c r="X94" s="65"/>
      <c r="Y94" s="65"/>
      <c r="Z94" s="65"/>
      <c r="AA94" s="65"/>
      <c r="AB94" s="65"/>
      <c r="AC94" s="65"/>
      <c r="AD94" s="65"/>
      <c r="AE94" s="65"/>
    </row>
    <row r="95" spans="1:31" ht="13.5" x14ac:dyDescent="0.25">
      <c r="A95" s="59" t="s">
        <v>157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65"/>
      <c r="W95" s="65"/>
      <c r="X95" s="65"/>
      <c r="Y95" s="65"/>
      <c r="Z95" s="65"/>
      <c r="AA95" s="65"/>
      <c r="AB95" s="65"/>
      <c r="AC95" s="65"/>
      <c r="AD95" s="65"/>
      <c r="AE95" s="65"/>
    </row>
    <row r="96" spans="1:31" ht="13.5" x14ac:dyDescent="0.25">
      <c r="A96" s="59" t="s">
        <v>164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65"/>
      <c r="W96" s="65"/>
      <c r="X96" s="65"/>
      <c r="Y96" s="65"/>
      <c r="Z96" s="65"/>
      <c r="AA96" s="65"/>
      <c r="AB96" s="65"/>
      <c r="AC96" s="65"/>
      <c r="AD96" s="65"/>
      <c r="AE96" s="65"/>
    </row>
    <row r="97" spans="1:31" ht="13.5" x14ac:dyDescent="0.25">
      <c r="A97" s="59" t="s">
        <v>165</v>
      </c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65"/>
      <c r="W97" s="65"/>
      <c r="X97" s="65"/>
      <c r="Y97" s="65"/>
      <c r="Z97" s="65"/>
      <c r="AA97" s="65"/>
      <c r="AB97" s="65"/>
      <c r="AC97" s="65"/>
      <c r="AD97" s="65"/>
      <c r="AE97" s="65"/>
    </row>
    <row r="98" spans="1:31" ht="13.5" x14ac:dyDescent="0.25">
      <c r="A98" s="59" t="s">
        <v>159</v>
      </c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65"/>
      <c r="W98" s="65"/>
      <c r="X98" s="65"/>
      <c r="Y98" s="65"/>
      <c r="Z98" s="65"/>
      <c r="AA98" s="65"/>
      <c r="AB98" s="65"/>
      <c r="AC98" s="65"/>
      <c r="AD98" s="65"/>
      <c r="AE98" s="65"/>
    </row>
    <row r="99" spans="1:31" ht="13.5" x14ac:dyDescent="0.25">
      <c r="A99" s="59" t="s">
        <v>166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65"/>
      <c r="W99" s="65"/>
      <c r="X99" s="65"/>
      <c r="Y99" s="65"/>
      <c r="Z99" s="65"/>
      <c r="AA99" s="65"/>
      <c r="AB99" s="65"/>
      <c r="AC99" s="65"/>
      <c r="AD99" s="65"/>
      <c r="AE99" s="65"/>
    </row>
    <row r="100" spans="1:31" ht="13.5" x14ac:dyDescent="0.25">
      <c r="A100" s="59" t="s">
        <v>167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</row>
    <row r="101" spans="1:31" x14ac:dyDescent="0.2">
      <c r="A101" s="79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</row>
    <row r="102" spans="1:31" ht="17.25" x14ac:dyDescent="0.3">
      <c r="A102" s="94" t="s">
        <v>184</v>
      </c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</row>
    <row r="103" spans="1:31" x14ac:dyDescent="0.2"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</row>
    <row r="104" spans="1:31" x14ac:dyDescent="0.2"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</row>
    <row r="105" spans="1:31" x14ac:dyDescent="0.2"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</row>
    <row r="106" spans="1:31" x14ac:dyDescent="0.2"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</row>
    <row r="107" spans="1:31" x14ac:dyDescent="0.2"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</row>
    <row r="108" spans="1:31" x14ac:dyDescent="0.2"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</row>
    <row r="109" spans="1:31" x14ac:dyDescent="0.2"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</row>
    <row r="110" spans="1:31" x14ac:dyDescent="0.2"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</row>
    <row r="111" spans="1:31" x14ac:dyDescent="0.2">
      <c r="A111" s="6" t="s">
        <v>3</v>
      </c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</row>
    <row r="112" spans="1:31" x14ac:dyDescent="0.2"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</row>
    <row r="113" spans="1:31" x14ac:dyDescent="0.2">
      <c r="A113" s="14" t="s">
        <v>0</v>
      </c>
      <c r="B113" s="14" t="s">
        <v>46</v>
      </c>
      <c r="C113" s="14" t="s">
        <v>26</v>
      </c>
      <c r="D113" s="14" t="s">
        <v>46</v>
      </c>
      <c r="E113" s="14" t="s">
        <v>28</v>
      </c>
      <c r="F113" s="14" t="s">
        <v>43</v>
      </c>
      <c r="G113" s="14" t="s">
        <v>43</v>
      </c>
      <c r="H113" s="14" t="s">
        <v>14</v>
      </c>
      <c r="I113" s="14" t="s">
        <v>138</v>
      </c>
      <c r="J113" s="14" t="s">
        <v>30</v>
      </c>
      <c r="K113" s="14" t="s">
        <v>135</v>
      </c>
      <c r="L113" s="14" t="s">
        <v>13</v>
      </c>
      <c r="M113" s="14" t="s">
        <v>13</v>
      </c>
      <c r="N113" s="14" t="s">
        <v>31</v>
      </c>
      <c r="O113" s="14" t="s">
        <v>33</v>
      </c>
      <c r="P113" s="14" t="s">
        <v>33</v>
      </c>
      <c r="Q113" s="14" t="s">
        <v>145</v>
      </c>
      <c r="R113" s="14" t="s">
        <v>35</v>
      </c>
      <c r="S113" s="34" t="s">
        <v>37</v>
      </c>
      <c r="T113" s="14" t="s">
        <v>39</v>
      </c>
      <c r="U113" s="14" t="s">
        <v>41</v>
      </c>
      <c r="V113" s="53"/>
      <c r="W113" s="52"/>
      <c r="X113" s="52"/>
      <c r="Y113" s="53"/>
      <c r="Z113" s="65"/>
      <c r="AA113" s="65"/>
      <c r="AB113" s="65"/>
      <c r="AC113" s="65"/>
      <c r="AD113" s="65"/>
      <c r="AE113" s="65"/>
    </row>
    <row r="114" spans="1:31" ht="13.5" thickBot="1" x14ac:dyDescent="0.25">
      <c r="A114" s="18"/>
      <c r="B114" s="18" t="s">
        <v>48</v>
      </c>
      <c r="C114" s="18" t="s">
        <v>27</v>
      </c>
      <c r="D114" s="18" t="s">
        <v>47</v>
      </c>
      <c r="E114" s="18" t="s">
        <v>29</v>
      </c>
      <c r="F114" s="18" t="s">
        <v>44</v>
      </c>
      <c r="G114" s="18" t="s">
        <v>45</v>
      </c>
      <c r="H114" s="21" t="s">
        <v>137</v>
      </c>
      <c r="I114" s="18" t="s">
        <v>139</v>
      </c>
      <c r="J114" s="18" t="s">
        <v>146</v>
      </c>
      <c r="K114" s="18" t="s">
        <v>136</v>
      </c>
      <c r="L114" s="18" t="s">
        <v>134</v>
      </c>
      <c r="M114" s="18" t="s">
        <v>160</v>
      </c>
      <c r="N114" s="18" t="s">
        <v>32</v>
      </c>
      <c r="O114" s="18" t="s">
        <v>34</v>
      </c>
      <c r="P114" s="18" t="s">
        <v>133</v>
      </c>
      <c r="Q114" s="42" t="s">
        <v>144</v>
      </c>
      <c r="R114" s="18" t="s">
        <v>36</v>
      </c>
      <c r="S114" s="35" t="s">
        <v>38</v>
      </c>
      <c r="T114" s="18" t="s">
        <v>40</v>
      </c>
      <c r="U114" s="18" t="s">
        <v>42</v>
      </c>
      <c r="V114" s="53"/>
      <c r="W114" s="52"/>
      <c r="X114" s="52"/>
      <c r="Y114" s="53"/>
      <c r="Z114" s="65"/>
      <c r="AA114" s="65"/>
      <c r="AB114" s="65"/>
      <c r="AC114" s="65"/>
      <c r="AD114" s="65"/>
      <c r="AE114" s="65"/>
    </row>
    <row r="115" spans="1:31" ht="13.5" thickBot="1" x14ac:dyDescent="0.25">
      <c r="A115" s="24" t="s">
        <v>18</v>
      </c>
      <c r="B115" s="25"/>
      <c r="C115" s="25"/>
      <c r="D115" s="25"/>
      <c r="E115" s="25"/>
      <c r="F115" s="25"/>
      <c r="G115" s="25"/>
      <c r="H115" s="26">
        <f>H117+H118+H119+H121+H120+H122+H123+H124</f>
        <v>6361600</v>
      </c>
      <c r="I115" s="26">
        <f>I117+I118+I119+I120+I121+I122+I123+I124</f>
        <v>2448000</v>
      </c>
      <c r="J115" s="27">
        <f>J116+J117+J118+J119+J120+J121+J122+J123+J124</f>
        <v>220000</v>
      </c>
      <c r="K115" s="25"/>
      <c r="L115" s="25"/>
      <c r="M115" s="25"/>
      <c r="N115" s="27"/>
      <c r="O115" s="27"/>
      <c r="P115" s="25"/>
      <c r="Q115" s="25"/>
      <c r="R115" s="25"/>
      <c r="S115" s="25"/>
      <c r="T115" s="25"/>
      <c r="U115" s="31">
        <f>U116+U117+U118+U119+U120+U121+U122+U123+U124</f>
        <v>9029600</v>
      </c>
      <c r="V115" s="53"/>
      <c r="W115" s="54"/>
      <c r="X115" s="54"/>
      <c r="Y115" s="53"/>
      <c r="Z115" s="65"/>
      <c r="AA115" s="65"/>
      <c r="AB115" s="65"/>
      <c r="AC115" s="65"/>
      <c r="AD115" s="65"/>
      <c r="AE115" s="65"/>
    </row>
    <row r="116" spans="1:31" x14ac:dyDescent="0.2">
      <c r="A116" s="19" t="s">
        <v>3</v>
      </c>
      <c r="B116" s="19"/>
      <c r="C116" s="19"/>
      <c r="D116" s="19"/>
      <c r="E116" s="19"/>
      <c r="F116" s="19"/>
      <c r="G116" s="19"/>
      <c r="H116" s="22"/>
      <c r="I116" s="36"/>
      <c r="J116" s="19">
        <v>60000</v>
      </c>
      <c r="K116" s="19"/>
      <c r="L116" s="19"/>
      <c r="M116" s="19"/>
      <c r="N116" s="23"/>
      <c r="O116" s="23"/>
      <c r="P116" s="19"/>
      <c r="Q116" s="23"/>
      <c r="R116" s="19"/>
      <c r="S116" s="19"/>
      <c r="T116" s="19"/>
      <c r="U116" s="39">
        <f t="shared" ref="U116" si="4">H116+I116+J116+N116+O116</f>
        <v>60000</v>
      </c>
      <c r="V116" s="53"/>
      <c r="W116" s="55"/>
      <c r="X116" s="55"/>
      <c r="Y116" s="53"/>
      <c r="Z116" s="65"/>
      <c r="AA116" s="65"/>
      <c r="AB116" s="65"/>
      <c r="AC116" s="65"/>
      <c r="AD116" s="65"/>
      <c r="AE116" s="65"/>
    </row>
    <row r="117" spans="1:31" x14ac:dyDescent="0.2">
      <c r="A117" s="4" t="s">
        <v>66</v>
      </c>
      <c r="B117" s="4"/>
      <c r="C117" s="4"/>
      <c r="D117" s="4"/>
      <c r="E117" s="4"/>
      <c r="F117" s="4"/>
      <c r="G117" s="4"/>
      <c r="H117" s="4">
        <v>806400</v>
      </c>
      <c r="I117" s="4">
        <f>48000*3</f>
        <v>144000</v>
      </c>
      <c r="J117" s="4">
        <v>20000</v>
      </c>
      <c r="K117" s="4"/>
      <c r="L117" s="4"/>
      <c r="M117" s="4"/>
      <c r="N117" s="4"/>
      <c r="O117" s="8"/>
      <c r="P117" s="4"/>
      <c r="Q117" s="4"/>
      <c r="R117" s="4"/>
      <c r="S117" s="4"/>
      <c r="T117" s="4"/>
      <c r="U117" s="40">
        <f>H117+I117+J117</f>
        <v>970400</v>
      </c>
      <c r="V117" s="45"/>
      <c r="W117" s="55"/>
      <c r="X117" s="55"/>
      <c r="Y117" s="56"/>
      <c r="Z117" s="65"/>
      <c r="AA117" s="65"/>
      <c r="AB117" s="65"/>
      <c r="AC117" s="65"/>
      <c r="AD117" s="65"/>
      <c r="AE117" s="65"/>
    </row>
    <row r="118" spans="1:31" x14ac:dyDescent="0.2">
      <c r="A118" s="4" t="s">
        <v>67</v>
      </c>
      <c r="B118" s="4"/>
      <c r="C118" s="4"/>
      <c r="D118" s="4"/>
      <c r="E118" s="4"/>
      <c r="F118" s="4"/>
      <c r="G118" s="4"/>
      <c r="H118" s="4">
        <v>963200</v>
      </c>
      <c r="I118" s="4">
        <f>48000*8</f>
        <v>384000</v>
      </c>
      <c r="J118" s="4">
        <v>20000</v>
      </c>
      <c r="K118" s="4"/>
      <c r="L118" s="4"/>
      <c r="M118" s="4"/>
      <c r="N118" s="4"/>
      <c r="O118" s="8"/>
      <c r="P118" s="4"/>
      <c r="Q118" s="4"/>
      <c r="R118" s="4"/>
      <c r="S118" s="4"/>
      <c r="T118" s="4"/>
      <c r="U118" s="40">
        <f t="shared" ref="U118:U124" si="5">H118+I118+J118</f>
        <v>1367200</v>
      </c>
      <c r="V118" s="45"/>
      <c r="W118" s="55"/>
      <c r="X118" s="55"/>
      <c r="Y118" s="56"/>
      <c r="Z118" s="65"/>
      <c r="AA118" s="65"/>
      <c r="AB118" s="65"/>
      <c r="AC118" s="65"/>
      <c r="AD118" s="65"/>
      <c r="AE118" s="65"/>
    </row>
    <row r="119" spans="1:31" x14ac:dyDescent="0.2">
      <c r="A119" s="4" t="s">
        <v>68</v>
      </c>
      <c r="B119" s="4"/>
      <c r="C119" s="4"/>
      <c r="D119" s="4"/>
      <c r="E119" s="4"/>
      <c r="F119" s="4"/>
      <c r="G119" s="4"/>
      <c r="H119" s="4">
        <v>1288000</v>
      </c>
      <c r="I119" s="4">
        <f>48000*18</f>
        <v>864000</v>
      </c>
      <c r="J119" s="4">
        <v>20000</v>
      </c>
      <c r="K119" s="4"/>
      <c r="L119" s="4"/>
      <c r="M119" s="4"/>
      <c r="N119" s="4"/>
      <c r="O119" s="8"/>
      <c r="P119" s="4"/>
      <c r="Q119" s="4"/>
      <c r="R119" s="4"/>
      <c r="S119" s="4"/>
      <c r="T119" s="4"/>
      <c r="U119" s="40">
        <f t="shared" si="5"/>
        <v>2172000</v>
      </c>
      <c r="V119" s="45"/>
      <c r="W119" s="55"/>
      <c r="X119" s="55"/>
      <c r="Y119" s="56"/>
      <c r="Z119" s="65"/>
      <c r="AA119" s="65"/>
      <c r="AB119" s="65"/>
      <c r="AC119" s="65"/>
      <c r="AD119" s="65"/>
      <c r="AE119" s="65"/>
    </row>
    <row r="120" spans="1:31" x14ac:dyDescent="0.2">
      <c r="A120" s="4" t="s">
        <v>69</v>
      </c>
      <c r="B120" s="4"/>
      <c r="C120" s="4"/>
      <c r="D120" s="4"/>
      <c r="E120" s="4"/>
      <c r="F120" s="4"/>
      <c r="G120" s="4"/>
      <c r="H120" s="4">
        <v>604800</v>
      </c>
      <c r="I120" s="4">
        <f>48000*1</f>
        <v>48000</v>
      </c>
      <c r="J120" s="4">
        <v>20000</v>
      </c>
      <c r="K120" s="4"/>
      <c r="L120" s="4"/>
      <c r="M120" s="4"/>
      <c r="N120" s="4"/>
      <c r="O120" s="8"/>
      <c r="P120" s="4"/>
      <c r="Q120" s="4"/>
      <c r="R120" s="4"/>
      <c r="S120" s="4"/>
      <c r="T120" s="4"/>
      <c r="U120" s="40">
        <f t="shared" si="5"/>
        <v>672800</v>
      </c>
      <c r="V120" s="45"/>
      <c r="W120" s="55"/>
      <c r="X120" s="55"/>
      <c r="Y120" s="56"/>
      <c r="Z120" s="65"/>
      <c r="AA120" s="65"/>
      <c r="AB120" s="65"/>
      <c r="AC120" s="65"/>
      <c r="AD120" s="65"/>
      <c r="AE120" s="65"/>
    </row>
    <row r="121" spans="1:31" x14ac:dyDescent="0.2">
      <c r="A121" s="4" t="s">
        <v>70</v>
      </c>
      <c r="B121" s="4"/>
      <c r="C121" s="4"/>
      <c r="D121" s="4"/>
      <c r="E121" s="4"/>
      <c r="F121" s="4"/>
      <c r="G121" s="4"/>
      <c r="H121" s="4">
        <v>313600</v>
      </c>
      <c r="I121" s="4">
        <f>48000*3</f>
        <v>144000</v>
      </c>
      <c r="J121" s="4">
        <v>20000</v>
      </c>
      <c r="K121" s="4"/>
      <c r="L121" s="4"/>
      <c r="M121" s="4"/>
      <c r="N121" s="4"/>
      <c r="O121" s="8"/>
      <c r="P121" s="4"/>
      <c r="Q121" s="4"/>
      <c r="R121" s="4"/>
      <c r="S121" s="4"/>
      <c r="T121" s="4"/>
      <c r="U121" s="40">
        <f t="shared" si="5"/>
        <v>477600</v>
      </c>
      <c r="V121" s="45"/>
      <c r="W121" s="55"/>
      <c r="X121" s="55"/>
      <c r="Y121" s="56"/>
      <c r="Z121" s="65"/>
      <c r="AA121" s="65"/>
      <c r="AB121" s="65"/>
      <c r="AC121" s="65"/>
      <c r="AD121" s="65"/>
      <c r="AE121" s="65"/>
    </row>
    <row r="122" spans="1:31" x14ac:dyDescent="0.2">
      <c r="A122" s="4" t="s">
        <v>71</v>
      </c>
      <c r="B122" s="4"/>
      <c r="C122" s="4"/>
      <c r="D122" s="4"/>
      <c r="E122" s="4"/>
      <c r="F122" s="4"/>
      <c r="G122" s="4"/>
      <c r="H122" s="4">
        <v>616000</v>
      </c>
      <c r="I122" s="4">
        <f>48000*5</f>
        <v>240000</v>
      </c>
      <c r="J122" s="4">
        <v>20000</v>
      </c>
      <c r="K122" s="4"/>
      <c r="L122" s="4"/>
      <c r="M122" s="4"/>
      <c r="N122" s="4"/>
      <c r="O122" s="8"/>
      <c r="P122" s="4"/>
      <c r="Q122" s="4"/>
      <c r="R122" s="4"/>
      <c r="S122" s="4"/>
      <c r="T122" s="4"/>
      <c r="U122" s="40">
        <f t="shared" si="5"/>
        <v>876000</v>
      </c>
      <c r="V122" s="45"/>
      <c r="W122" s="55"/>
      <c r="X122" s="55"/>
      <c r="Y122" s="56"/>
      <c r="Z122" s="65"/>
      <c r="AA122" s="65"/>
      <c r="AB122" s="65"/>
      <c r="AC122" s="65"/>
      <c r="AD122" s="65"/>
      <c r="AE122" s="65"/>
    </row>
    <row r="123" spans="1:31" x14ac:dyDescent="0.2">
      <c r="A123" s="4" t="s">
        <v>72</v>
      </c>
      <c r="B123" s="4"/>
      <c r="C123" s="4"/>
      <c r="D123" s="4"/>
      <c r="E123" s="4"/>
      <c r="F123" s="4"/>
      <c r="G123" s="4"/>
      <c r="H123" s="4">
        <v>873600</v>
      </c>
      <c r="I123" s="4">
        <f>48000*9</f>
        <v>432000</v>
      </c>
      <c r="J123" s="4">
        <v>20000</v>
      </c>
      <c r="K123" s="4"/>
      <c r="L123" s="4"/>
      <c r="M123" s="4"/>
      <c r="N123" s="4"/>
      <c r="O123" s="8"/>
      <c r="P123" s="4"/>
      <c r="Q123" s="4"/>
      <c r="R123" s="4"/>
      <c r="S123" s="4"/>
      <c r="T123" s="4"/>
      <c r="U123" s="40">
        <f t="shared" si="5"/>
        <v>1325600</v>
      </c>
      <c r="V123" s="45"/>
      <c r="W123" s="55"/>
      <c r="X123" s="55"/>
      <c r="Y123" s="56"/>
      <c r="Z123" s="65"/>
      <c r="AA123" s="65"/>
      <c r="AB123" s="65"/>
      <c r="AC123" s="65"/>
      <c r="AD123" s="65"/>
      <c r="AE123" s="65"/>
    </row>
    <row r="124" spans="1:31" x14ac:dyDescent="0.2">
      <c r="A124" s="4" t="s">
        <v>73</v>
      </c>
      <c r="B124" s="4"/>
      <c r="C124" s="4"/>
      <c r="D124" s="4"/>
      <c r="E124" s="4"/>
      <c r="F124" s="4"/>
      <c r="G124" s="4"/>
      <c r="H124" s="4">
        <v>896000</v>
      </c>
      <c r="I124" s="4">
        <f>48000*4</f>
        <v>192000</v>
      </c>
      <c r="J124" s="4">
        <v>20000</v>
      </c>
      <c r="K124" s="4"/>
      <c r="L124" s="4"/>
      <c r="M124" s="4"/>
      <c r="N124" s="4"/>
      <c r="O124" s="8"/>
      <c r="P124" s="4"/>
      <c r="Q124" s="4"/>
      <c r="R124" s="4"/>
      <c r="S124" s="4"/>
      <c r="T124" s="4"/>
      <c r="U124" s="40">
        <f t="shared" si="5"/>
        <v>1108000</v>
      </c>
      <c r="V124" s="45"/>
      <c r="W124" s="55"/>
      <c r="X124" s="55"/>
      <c r="Y124" s="56"/>
      <c r="Z124" s="65"/>
      <c r="AA124" s="65"/>
      <c r="AB124" s="65"/>
      <c r="AC124" s="65"/>
      <c r="AD124" s="65"/>
      <c r="AE124" s="65"/>
    </row>
    <row r="125" spans="1:31" x14ac:dyDescent="0.2">
      <c r="J125" s="5"/>
      <c r="N125" s="11"/>
      <c r="O125" s="5"/>
      <c r="U125" s="10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</row>
    <row r="126" spans="1:31" ht="18.75" x14ac:dyDescent="0.3">
      <c r="A126" s="33" t="s">
        <v>151</v>
      </c>
      <c r="B126" s="33"/>
      <c r="C126" s="33"/>
      <c r="D126" s="33"/>
      <c r="E126" s="33"/>
      <c r="F126" s="33"/>
      <c r="G126" s="33"/>
      <c r="H126" s="44"/>
      <c r="I126" s="33"/>
      <c r="J126" s="33"/>
      <c r="K126" s="33"/>
      <c r="L126" s="33"/>
      <c r="M126" s="33"/>
      <c r="N126" s="44"/>
      <c r="O126" s="33"/>
      <c r="P126" s="33"/>
      <c r="Q126" s="33"/>
      <c r="R126" s="33"/>
      <c r="S126" s="33"/>
      <c r="T126" s="33"/>
      <c r="U126" s="43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</row>
    <row r="127" spans="1:31" ht="13.5" x14ac:dyDescent="0.25">
      <c r="A127" s="59" t="s">
        <v>152</v>
      </c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</row>
    <row r="128" spans="1:31" ht="13.5" x14ac:dyDescent="0.25">
      <c r="A128" s="59" t="s">
        <v>155</v>
      </c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</row>
    <row r="129" spans="1:31" ht="13.5" x14ac:dyDescent="0.25">
      <c r="A129" s="59" t="s">
        <v>153</v>
      </c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</row>
    <row r="130" spans="1:31" ht="13.5" x14ac:dyDescent="0.25">
      <c r="A130" s="59" t="s">
        <v>156</v>
      </c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</row>
    <row r="131" spans="1:31" ht="13.5" x14ac:dyDescent="0.25">
      <c r="A131" s="59" t="s">
        <v>154</v>
      </c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</row>
    <row r="132" spans="1:31" ht="13.5" x14ac:dyDescent="0.25">
      <c r="A132" s="59" t="s">
        <v>157</v>
      </c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</row>
    <row r="133" spans="1:31" ht="13.5" x14ac:dyDescent="0.25">
      <c r="A133" s="59" t="s">
        <v>164</v>
      </c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</row>
    <row r="134" spans="1:31" ht="13.5" x14ac:dyDescent="0.25">
      <c r="A134" s="59" t="s">
        <v>165</v>
      </c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</row>
    <row r="135" spans="1:31" ht="13.5" x14ac:dyDescent="0.25">
      <c r="A135" s="59" t="s">
        <v>159</v>
      </c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</row>
    <row r="136" spans="1:31" ht="13.5" x14ac:dyDescent="0.25">
      <c r="A136" s="59" t="s">
        <v>166</v>
      </c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</row>
    <row r="137" spans="1:31" ht="13.5" x14ac:dyDescent="0.25">
      <c r="A137" s="59" t="s">
        <v>167</v>
      </c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</row>
    <row r="138" spans="1:31" x14ac:dyDescent="0.2"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</row>
    <row r="139" spans="1:31" ht="17.25" x14ac:dyDescent="0.3">
      <c r="A139" s="94" t="s">
        <v>184</v>
      </c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</row>
    <row r="140" spans="1:31" x14ac:dyDescent="0.2"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</row>
    <row r="141" spans="1:31" x14ac:dyDescent="0.2"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</row>
    <row r="142" spans="1:31" x14ac:dyDescent="0.2"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</row>
    <row r="143" spans="1:31" x14ac:dyDescent="0.2"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</row>
    <row r="144" spans="1:31" x14ac:dyDescent="0.2"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</row>
    <row r="145" spans="1:31" x14ac:dyDescent="0.2"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</row>
    <row r="146" spans="1:31" x14ac:dyDescent="0.2"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</row>
    <row r="147" spans="1:31" x14ac:dyDescent="0.2"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</row>
    <row r="148" spans="1:31" x14ac:dyDescent="0.2"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</row>
    <row r="149" spans="1:31" x14ac:dyDescent="0.2">
      <c r="A149" s="6" t="s">
        <v>4</v>
      </c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</row>
    <row r="150" spans="1:31" x14ac:dyDescent="0.2"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</row>
    <row r="151" spans="1:31" x14ac:dyDescent="0.2">
      <c r="A151" s="14" t="s">
        <v>0</v>
      </c>
      <c r="B151" s="14" t="s">
        <v>46</v>
      </c>
      <c r="C151" s="14" t="s">
        <v>26</v>
      </c>
      <c r="D151" s="14" t="s">
        <v>46</v>
      </c>
      <c r="E151" s="14" t="s">
        <v>28</v>
      </c>
      <c r="F151" s="14" t="s">
        <v>43</v>
      </c>
      <c r="G151" s="14" t="s">
        <v>43</v>
      </c>
      <c r="H151" s="14" t="s">
        <v>14</v>
      </c>
      <c r="I151" s="14" t="s">
        <v>138</v>
      </c>
      <c r="J151" s="14" t="s">
        <v>30</v>
      </c>
      <c r="K151" s="14" t="s">
        <v>135</v>
      </c>
      <c r="L151" s="14" t="s">
        <v>13</v>
      </c>
      <c r="M151" s="14" t="s">
        <v>13</v>
      </c>
      <c r="N151" s="14" t="s">
        <v>31</v>
      </c>
      <c r="O151" s="14" t="s">
        <v>33</v>
      </c>
      <c r="P151" s="14" t="s">
        <v>33</v>
      </c>
      <c r="Q151" s="14" t="s">
        <v>145</v>
      </c>
      <c r="R151" s="14" t="s">
        <v>35</v>
      </c>
      <c r="S151" s="34" t="s">
        <v>37</v>
      </c>
      <c r="T151" s="14" t="s">
        <v>39</v>
      </c>
      <c r="U151" s="14" t="s">
        <v>41</v>
      </c>
      <c r="V151" s="53"/>
      <c r="W151" s="52" t="s">
        <v>30</v>
      </c>
      <c r="X151" s="52" t="s">
        <v>31</v>
      </c>
      <c r="Y151" s="53"/>
      <c r="Z151" s="53"/>
      <c r="AA151" s="65"/>
      <c r="AB151" s="65"/>
      <c r="AC151" s="65"/>
      <c r="AD151" s="65"/>
      <c r="AE151" s="65"/>
    </row>
    <row r="152" spans="1:31" ht="13.5" thickBot="1" x14ac:dyDescent="0.25">
      <c r="A152" s="18"/>
      <c r="B152" s="18" t="s">
        <v>48</v>
      </c>
      <c r="C152" s="18" t="s">
        <v>27</v>
      </c>
      <c r="D152" s="18" t="s">
        <v>47</v>
      </c>
      <c r="E152" s="18" t="s">
        <v>29</v>
      </c>
      <c r="F152" s="18" t="s">
        <v>44</v>
      </c>
      <c r="G152" s="18" t="s">
        <v>45</v>
      </c>
      <c r="H152" s="21" t="s">
        <v>137</v>
      </c>
      <c r="I152" s="18" t="s">
        <v>139</v>
      </c>
      <c r="J152" s="18" t="s">
        <v>146</v>
      </c>
      <c r="K152" s="18" t="s">
        <v>136</v>
      </c>
      <c r="L152" s="18" t="s">
        <v>134</v>
      </c>
      <c r="M152" s="18" t="s">
        <v>160</v>
      </c>
      <c r="N152" s="18" t="s">
        <v>32</v>
      </c>
      <c r="O152" s="18" t="s">
        <v>34</v>
      </c>
      <c r="P152" s="18" t="s">
        <v>133</v>
      </c>
      <c r="Q152" s="42" t="s">
        <v>144</v>
      </c>
      <c r="R152" s="18" t="s">
        <v>36</v>
      </c>
      <c r="S152" s="35" t="s">
        <v>38</v>
      </c>
      <c r="T152" s="18" t="s">
        <v>40</v>
      </c>
      <c r="U152" s="18" t="s">
        <v>42</v>
      </c>
      <c r="V152" s="53"/>
      <c r="W152" s="52" t="s">
        <v>146</v>
      </c>
      <c r="X152" s="52" t="s">
        <v>32</v>
      </c>
      <c r="Y152" s="53"/>
      <c r="Z152" s="53"/>
      <c r="AA152" s="65"/>
      <c r="AB152" s="65"/>
      <c r="AC152" s="65"/>
      <c r="AD152" s="65"/>
      <c r="AE152" s="65"/>
    </row>
    <row r="153" spans="1:31" ht="13.5" thickBot="1" x14ac:dyDescent="0.25">
      <c r="A153" s="24" t="s">
        <v>19</v>
      </c>
      <c r="B153" s="25"/>
      <c r="C153" s="25"/>
      <c r="D153" s="25"/>
      <c r="E153" s="25"/>
      <c r="F153" s="25"/>
      <c r="G153" s="25"/>
      <c r="H153" s="26">
        <f>H155+H156+H157+H158+H159+H160+H161+H162</f>
        <v>12454400</v>
      </c>
      <c r="I153" s="26">
        <f>I155+I156+I157+I158+I159+I160+I161+I162</f>
        <v>1488000</v>
      </c>
      <c r="J153" s="26">
        <f>J154+J155+J156+J157+J158+J159+J160+J161+J162</f>
        <v>220000</v>
      </c>
      <c r="K153" s="25"/>
      <c r="L153" s="25"/>
      <c r="M153" s="25"/>
      <c r="N153" s="26"/>
      <c r="O153" s="26"/>
      <c r="P153" s="25"/>
      <c r="Q153" s="25"/>
      <c r="R153" s="25"/>
      <c r="S153" s="25"/>
      <c r="T153" s="25"/>
      <c r="U153" s="89">
        <f>U154+U155+U156+U157+U158+U159+U160+U161+U162</f>
        <v>14162400</v>
      </c>
      <c r="V153" s="53"/>
      <c r="W153" s="54">
        <f>W154+W155+W156+W157+W158+W159+W160+W161+W162</f>
        <v>60000</v>
      </c>
      <c r="X153" s="54">
        <f>X155+X156+X157+X158+X159+X160+X161+X162</f>
        <v>0</v>
      </c>
      <c r="Y153" s="53"/>
      <c r="Z153" s="53"/>
      <c r="AA153" s="65"/>
      <c r="AB153" s="65"/>
      <c r="AC153" s="65"/>
      <c r="AD153" s="65"/>
      <c r="AE153" s="65"/>
    </row>
    <row r="154" spans="1:31" x14ac:dyDescent="0.2">
      <c r="A154" s="19" t="s">
        <v>4</v>
      </c>
      <c r="B154" s="19"/>
      <c r="C154" s="19"/>
      <c r="D154" s="19"/>
      <c r="E154" s="19"/>
      <c r="F154" s="19"/>
      <c r="G154" s="19"/>
      <c r="H154" s="19"/>
      <c r="I154" s="36"/>
      <c r="J154" s="19">
        <v>60000</v>
      </c>
      <c r="K154" s="19"/>
      <c r="L154" s="19"/>
      <c r="M154" s="19"/>
      <c r="N154" s="23"/>
      <c r="O154" s="23"/>
      <c r="P154" s="19"/>
      <c r="Q154" s="23"/>
      <c r="R154" s="19"/>
      <c r="S154" s="19"/>
      <c r="T154" s="19"/>
      <c r="U154" s="19">
        <f>J154</f>
        <v>60000</v>
      </c>
      <c r="V154" s="53"/>
      <c r="W154" s="55">
        <v>60000</v>
      </c>
      <c r="X154" s="55"/>
      <c r="Y154" s="53"/>
      <c r="Z154" s="53"/>
      <c r="AA154" s="65"/>
      <c r="AB154" s="65"/>
      <c r="AC154" s="65"/>
      <c r="AD154" s="65"/>
      <c r="AE154" s="65"/>
    </row>
    <row r="155" spans="1:31" x14ac:dyDescent="0.2">
      <c r="A155" s="4" t="s">
        <v>74</v>
      </c>
      <c r="B155" s="4"/>
      <c r="C155" s="4"/>
      <c r="D155" s="4"/>
      <c r="E155" s="4"/>
      <c r="F155" s="4"/>
      <c r="G155" s="4"/>
      <c r="H155" s="4">
        <v>1512000</v>
      </c>
      <c r="I155" s="4">
        <f>48000*1</f>
        <v>48000</v>
      </c>
      <c r="J155" s="4">
        <v>20000</v>
      </c>
      <c r="K155" s="4"/>
      <c r="L155" s="4"/>
      <c r="M155" s="4"/>
      <c r="N155" s="4"/>
      <c r="O155" s="8"/>
      <c r="P155" s="4"/>
      <c r="Q155" s="4"/>
      <c r="R155" s="4"/>
      <c r="S155" s="4"/>
      <c r="T155" s="4"/>
      <c r="U155" s="4">
        <f>H155+I155+J155</f>
        <v>1580000</v>
      </c>
      <c r="V155" s="45"/>
      <c r="W155" s="55"/>
      <c r="X155" s="55"/>
      <c r="Y155" s="56"/>
      <c r="Z155" s="53"/>
      <c r="AA155" s="65"/>
      <c r="AB155" s="65"/>
      <c r="AC155" s="65"/>
      <c r="AD155" s="65"/>
      <c r="AE155" s="65"/>
    </row>
    <row r="156" spans="1:31" x14ac:dyDescent="0.2">
      <c r="A156" s="4" t="s">
        <v>75</v>
      </c>
      <c r="B156" s="4"/>
      <c r="C156" s="4"/>
      <c r="D156" s="4"/>
      <c r="E156" s="4"/>
      <c r="F156" s="4"/>
      <c r="G156" s="4"/>
      <c r="H156" s="4">
        <v>2710400</v>
      </c>
      <c r="I156" s="4">
        <f>48000*9</f>
        <v>432000</v>
      </c>
      <c r="J156" s="4">
        <v>20000</v>
      </c>
      <c r="K156" s="4"/>
      <c r="L156" s="4"/>
      <c r="M156" s="4"/>
      <c r="N156" s="4"/>
      <c r="O156" s="8"/>
      <c r="P156" s="4"/>
      <c r="Q156" s="4"/>
      <c r="R156" s="4"/>
      <c r="S156" s="4"/>
      <c r="T156" s="4"/>
      <c r="U156" s="4">
        <f t="shared" ref="U156:U162" si="6">H156+I156+J156</f>
        <v>3162400</v>
      </c>
      <c r="V156" s="45"/>
      <c r="W156" s="55"/>
      <c r="X156" s="55"/>
      <c r="Y156" s="56"/>
      <c r="Z156" s="53"/>
      <c r="AA156" s="65"/>
      <c r="AB156" s="65"/>
      <c r="AC156" s="65"/>
      <c r="AD156" s="65"/>
      <c r="AE156" s="65"/>
    </row>
    <row r="157" spans="1:31" x14ac:dyDescent="0.2">
      <c r="A157" s="4" t="s">
        <v>76</v>
      </c>
      <c r="B157" s="4"/>
      <c r="C157" s="4"/>
      <c r="D157" s="4"/>
      <c r="E157" s="4"/>
      <c r="F157" s="4"/>
      <c r="G157" s="4"/>
      <c r="H157" s="4">
        <v>1792000</v>
      </c>
      <c r="I157" s="4">
        <f>48000*3</f>
        <v>144000</v>
      </c>
      <c r="J157" s="4">
        <v>20000</v>
      </c>
      <c r="K157" s="4"/>
      <c r="L157" s="4"/>
      <c r="M157" s="4"/>
      <c r="N157" s="4"/>
      <c r="O157" s="8"/>
      <c r="P157" s="4"/>
      <c r="Q157" s="4"/>
      <c r="R157" s="4"/>
      <c r="S157" s="4"/>
      <c r="T157" s="4"/>
      <c r="U157" s="4">
        <f t="shared" si="6"/>
        <v>1956000</v>
      </c>
      <c r="V157" s="45"/>
      <c r="W157" s="55"/>
      <c r="X157" s="55"/>
      <c r="Y157" s="56"/>
      <c r="Z157" s="53"/>
      <c r="AA157" s="65"/>
      <c r="AB157" s="65"/>
      <c r="AC157" s="65"/>
      <c r="AD157" s="65"/>
      <c r="AE157" s="65"/>
    </row>
    <row r="158" spans="1:31" x14ac:dyDescent="0.2">
      <c r="A158" s="4" t="s">
        <v>77</v>
      </c>
      <c r="B158" s="4"/>
      <c r="C158" s="4"/>
      <c r="D158" s="4"/>
      <c r="E158" s="4"/>
      <c r="F158" s="4"/>
      <c r="G158" s="4"/>
      <c r="H158" s="4">
        <v>582400</v>
      </c>
      <c r="I158" s="4">
        <f>48000*2</f>
        <v>96000</v>
      </c>
      <c r="J158" s="4">
        <v>20000</v>
      </c>
      <c r="K158" s="4"/>
      <c r="L158" s="4"/>
      <c r="M158" s="4"/>
      <c r="N158" s="4"/>
      <c r="O158" s="8"/>
      <c r="P158" s="4"/>
      <c r="Q158" s="4"/>
      <c r="R158" s="4"/>
      <c r="S158" s="4"/>
      <c r="T158" s="4"/>
      <c r="U158" s="4">
        <f t="shared" si="6"/>
        <v>698400</v>
      </c>
      <c r="V158" s="45"/>
      <c r="W158" s="55"/>
      <c r="X158" s="55"/>
      <c r="Y158" s="56"/>
      <c r="Z158" s="53"/>
      <c r="AA158" s="65"/>
      <c r="AB158" s="65"/>
      <c r="AC158" s="65"/>
      <c r="AD158" s="65"/>
      <c r="AE158" s="65"/>
    </row>
    <row r="159" spans="1:31" x14ac:dyDescent="0.2">
      <c r="A159" s="4" t="s">
        <v>78</v>
      </c>
      <c r="B159" s="4"/>
      <c r="C159" s="4"/>
      <c r="D159" s="4"/>
      <c r="E159" s="4"/>
      <c r="F159" s="4"/>
      <c r="G159" s="4"/>
      <c r="H159" s="4">
        <v>1691200</v>
      </c>
      <c r="I159" s="4">
        <f>48000*5</f>
        <v>240000</v>
      </c>
      <c r="J159" s="4">
        <v>20000</v>
      </c>
      <c r="K159" s="4"/>
      <c r="L159" s="4"/>
      <c r="M159" s="4"/>
      <c r="N159" s="4"/>
      <c r="O159" s="8"/>
      <c r="P159" s="4"/>
      <c r="Q159" s="4"/>
      <c r="R159" s="4"/>
      <c r="S159" s="4"/>
      <c r="T159" s="4"/>
      <c r="U159" s="4">
        <f t="shared" si="6"/>
        <v>1951200</v>
      </c>
      <c r="V159" s="45"/>
      <c r="W159" s="55"/>
      <c r="X159" s="55"/>
      <c r="Y159" s="56"/>
      <c r="Z159" s="53"/>
      <c r="AA159" s="65"/>
      <c r="AB159" s="65"/>
      <c r="AC159" s="65"/>
      <c r="AD159" s="65"/>
      <c r="AE159" s="65"/>
    </row>
    <row r="160" spans="1:31" x14ac:dyDescent="0.2">
      <c r="A160" s="4" t="s">
        <v>79</v>
      </c>
      <c r="B160" s="4"/>
      <c r="C160" s="4"/>
      <c r="D160" s="4"/>
      <c r="E160" s="4"/>
      <c r="F160" s="4"/>
      <c r="G160" s="4"/>
      <c r="H160" s="4">
        <v>1713600</v>
      </c>
      <c r="I160" s="4">
        <f>48000*4</f>
        <v>192000</v>
      </c>
      <c r="J160" s="4">
        <v>20000</v>
      </c>
      <c r="K160" s="4"/>
      <c r="L160" s="4"/>
      <c r="M160" s="4"/>
      <c r="N160" s="4"/>
      <c r="O160" s="8"/>
      <c r="P160" s="4"/>
      <c r="Q160" s="4"/>
      <c r="R160" s="4"/>
      <c r="S160" s="4"/>
      <c r="T160" s="4"/>
      <c r="U160" s="4">
        <f t="shared" si="6"/>
        <v>1925600</v>
      </c>
      <c r="V160" s="45"/>
      <c r="W160" s="55"/>
      <c r="X160" s="55"/>
      <c r="Y160" s="56"/>
      <c r="Z160" s="53"/>
      <c r="AA160" s="65"/>
      <c r="AB160" s="65"/>
      <c r="AC160" s="65"/>
      <c r="AD160" s="65"/>
      <c r="AE160" s="65"/>
    </row>
    <row r="161" spans="1:31" x14ac:dyDescent="0.2">
      <c r="A161" s="4" t="s">
        <v>80</v>
      </c>
      <c r="B161" s="4"/>
      <c r="C161" s="4"/>
      <c r="D161" s="4"/>
      <c r="E161" s="4"/>
      <c r="F161" s="4"/>
      <c r="G161" s="4"/>
      <c r="H161" s="4">
        <v>1926400</v>
      </c>
      <c r="I161" s="4">
        <f>48000*6</f>
        <v>288000</v>
      </c>
      <c r="J161" s="4">
        <v>20000</v>
      </c>
      <c r="K161" s="4"/>
      <c r="L161" s="4"/>
      <c r="M161" s="4"/>
      <c r="N161" s="4"/>
      <c r="O161" s="8"/>
      <c r="P161" s="4"/>
      <c r="Q161" s="4"/>
      <c r="R161" s="4"/>
      <c r="S161" s="4"/>
      <c r="T161" s="4"/>
      <c r="U161" s="4">
        <f t="shared" si="6"/>
        <v>2234400</v>
      </c>
      <c r="V161" s="45"/>
      <c r="W161" s="55"/>
      <c r="X161" s="55"/>
      <c r="Y161" s="56"/>
      <c r="Z161" s="53"/>
      <c r="AA161" s="65"/>
      <c r="AB161" s="65"/>
      <c r="AC161" s="65"/>
      <c r="AD161" s="65"/>
      <c r="AE161" s="65"/>
    </row>
    <row r="162" spans="1:31" x14ac:dyDescent="0.2">
      <c r="A162" s="4" t="s">
        <v>81</v>
      </c>
      <c r="B162" s="4"/>
      <c r="C162" s="4"/>
      <c r="D162" s="4"/>
      <c r="E162" s="4"/>
      <c r="F162" s="4"/>
      <c r="G162" s="4"/>
      <c r="H162" s="4">
        <v>526400</v>
      </c>
      <c r="I162" s="4">
        <f>48000*1</f>
        <v>48000</v>
      </c>
      <c r="J162" s="4">
        <v>20000</v>
      </c>
      <c r="K162" s="4"/>
      <c r="L162" s="4"/>
      <c r="M162" s="4"/>
      <c r="N162" s="4"/>
      <c r="O162" s="8"/>
      <c r="P162" s="4"/>
      <c r="Q162" s="4"/>
      <c r="R162" s="4"/>
      <c r="S162" s="4"/>
      <c r="T162" s="4"/>
      <c r="U162" s="4">
        <f t="shared" si="6"/>
        <v>594400</v>
      </c>
      <c r="V162" s="45"/>
      <c r="W162" s="55"/>
      <c r="X162" s="55"/>
      <c r="Y162" s="56"/>
      <c r="Z162" s="53"/>
      <c r="AA162" s="65"/>
      <c r="AB162" s="65"/>
      <c r="AC162" s="65"/>
      <c r="AD162" s="65"/>
      <c r="AE162" s="65"/>
    </row>
    <row r="163" spans="1:31" x14ac:dyDescent="0.2">
      <c r="J163" s="5"/>
      <c r="N163" s="10"/>
      <c r="O163" s="10"/>
      <c r="U163" s="10"/>
      <c r="V163" s="56">
        <f>SUM(V155:V162)</f>
        <v>0</v>
      </c>
      <c r="W163" s="53"/>
      <c r="X163" s="53"/>
      <c r="Y163" s="53"/>
      <c r="Z163" s="53"/>
      <c r="AA163" s="65"/>
      <c r="AB163" s="65"/>
      <c r="AC163" s="65"/>
      <c r="AD163" s="65"/>
      <c r="AE163" s="65"/>
    </row>
    <row r="164" spans="1:31" ht="18.75" x14ac:dyDescent="0.3">
      <c r="A164" s="33" t="s">
        <v>151</v>
      </c>
      <c r="B164" s="33"/>
      <c r="C164" s="33"/>
      <c r="D164" s="33"/>
      <c r="E164" s="33"/>
      <c r="F164" s="33"/>
      <c r="G164" s="33"/>
      <c r="H164" s="44"/>
      <c r="I164" s="33"/>
      <c r="J164" s="33"/>
      <c r="K164" s="33"/>
      <c r="L164" s="33"/>
      <c r="M164" s="33"/>
      <c r="N164" s="44"/>
      <c r="O164" s="33"/>
      <c r="P164" s="33"/>
      <c r="Q164" s="33"/>
      <c r="R164" s="33"/>
      <c r="S164" s="33"/>
      <c r="T164" s="33"/>
      <c r="U164" s="43"/>
      <c r="V164" s="53"/>
      <c r="W164" s="53"/>
      <c r="X164" s="53"/>
      <c r="Y164" s="53"/>
      <c r="Z164" s="53"/>
      <c r="AA164" s="65"/>
      <c r="AB164" s="65"/>
      <c r="AC164" s="65"/>
      <c r="AD164" s="65"/>
      <c r="AE164" s="65"/>
    </row>
    <row r="165" spans="1:31" ht="13.5" x14ac:dyDescent="0.25">
      <c r="A165" s="59" t="s">
        <v>152</v>
      </c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</row>
    <row r="166" spans="1:31" ht="13.5" x14ac:dyDescent="0.25">
      <c r="A166" s="59" t="s">
        <v>155</v>
      </c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</row>
    <row r="167" spans="1:31" ht="13.5" x14ac:dyDescent="0.25">
      <c r="A167" s="59" t="s">
        <v>153</v>
      </c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</row>
    <row r="168" spans="1:31" ht="13.5" x14ac:dyDescent="0.25">
      <c r="A168" s="59" t="s">
        <v>156</v>
      </c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</row>
    <row r="169" spans="1:31" ht="13.5" x14ac:dyDescent="0.25">
      <c r="A169" s="59" t="s">
        <v>154</v>
      </c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</row>
    <row r="170" spans="1:31" ht="13.5" x14ac:dyDescent="0.25">
      <c r="A170" s="59" t="s">
        <v>157</v>
      </c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</row>
    <row r="171" spans="1:31" ht="13.5" x14ac:dyDescent="0.25">
      <c r="A171" s="59" t="s">
        <v>164</v>
      </c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</row>
    <row r="172" spans="1:31" ht="13.5" x14ac:dyDescent="0.25">
      <c r="A172" s="59" t="s">
        <v>165</v>
      </c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</row>
    <row r="173" spans="1:31" ht="13.5" x14ac:dyDescent="0.25">
      <c r="A173" s="59" t="s">
        <v>159</v>
      </c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</row>
    <row r="174" spans="1:31" ht="13.5" x14ac:dyDescent="0.25">
      <c r="A174" s="59" t="s">
        <v>166</v>
      </c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</row>
    <row r="175" spans="1:31" ht="13.5" x14ac:dyDescent="0.25">
      <c r="A175" s="59" t="s">
        <v>167</v>
      </c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</row>
    <row r="176" spans="1:31" x14ac:dyDescent="0.2">
      <c r="A176" s="79"/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</row>
    <row r="177" spans="1:31" ht="17.25" x14ac:dyDescent="0.3">
      <c r="A177" s="94" t="s">
        <v>184</v>
      </c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</row>
    <row r="178" spans="1:31" x14ac:dyDescent="0.2">
      <c r="A178" s="79"/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</row>
    <row r="179" spans="1:31" x14ac:dyDescent="0.2"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</row>
    <row r="180" spans="1:31" x14ac:dyDescent="0.2"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</row>
    <row r="181" spans="1:31" x14ac:dyDescent="0.2"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</row>
    <row r="182" spans="1:31" x14ac:dyDescent="0.2"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</row>
    <row r="183" spans="1:31" x14ac:dyDescent="0.2"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</row>
    <row r="184" spans="1:31" x14ac:dyDescent="0.2"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</row>
    <row r="185" spans="1:31" x14ac:dyDescent="0.2">
      <c r="A185" s="6" t="s">
        <v>5</v>
      </c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</row>
    <row r="186" spans="1:31" x14ac:dyDescent="0.2">
      <c r="A186" s="14" t="s">
        <v>0</v>
      </c>
      <c r="B186" s="14" t="s">
        <v>46</v>
      </c>
      <c r="C186" s="14" t="s">
        <v>26</v>
      </c>
      <c r="D186" s="14" t="s">
        <v>46</v>
      </c>
      <c r="E186" s="14" t="s">
        <v>28</v>
      </c>
      <c r="F186" s="14" t="s">
        <v>43</v>
      </c>
      <c r="G186" s="14" t="s">
        <v>43</v>
      </c>
      <c r="H186" s="14" t="s">
        <v>14</v>
      </c>
      <c r="I186" s="14" t="s">
        <v>138</v>
      </c>
      <c r="J186" s="14" t="s">
        <v>30</v>
      </c>
      <c r="K186" s="14" t="s">
        <v>135</v>
      </c>
      <c r="L186" s="14" t="s">
        <v>13</v>
      </c>
      <c r="M186" s="14" t="s">
        <v>13</v>
      </c>
      <c r="N186" s="14" t="s">
        <v>31</v>
      </c>
      <c r="O186" s="14" t="s">
        <v>33</v>
      </c>
      <c r="P186" s="14" t="s">
        <v>33</v>
      </c>
      <c r="Q186" s="14" t="s">
        <v>145</v>
      </c>
      <c r="R186" s="14" t="s">
        <v>35</v>
      </c>
      <c r="S186" s="34" t="s">
        <v>37</v>
      </c>
      <c r="T186" s="14" t="s">
        <v>39</v>
      </c>
      <c r="U186" s="14" t="s">
        <v>41</v>
      </c>
      <c r="V186" s="53"/>
      <c r="W186" s="52" t="s">
        <v>30</v>
      </c>
      <c r="X186" s="52" t="s">
        <v>31</v>
      </c>
      <c r="Y186" s="53"/>
      <c r="Z186" s="53"/>
      <c r="AA186" s="65"/>
      <c r="AB186" s="65"/>
      <c r="AC186" s="65"/>
      <c r="AD186" s="65"/>
      <c r="AE186" s="65"/>
    </row>
    <row r="187" spans="1:31" ht="13.5" thickBot="1" x14ac:dyDescent="0.25">
      <c r="A187" s="18"/>
      <c r="B187" s="18" t="s">
        <v>48</v>
      </c>
      <c r="C187" s="18" t="s">
        <v>27</v>
      </c>
      <c r="D187" s="18" t="s">
        <v>47</v>
      </c>
      <c r="E187" s="18" t="s">
        <v>29</v>
      </c>
      <c r="F187" s="18" t="s">
        <v>44</v>
      </c>
      <c r="G187" s="18" t="s">
        <v>45</v>
      </c>
      <c r="H187" s="21" t="s">
        <v>137</v>
      </c>
      <c r="I187" s="18" t="s">
        <v>139</v>
      </c>
      <c r="J187" s="18" t="s">
        <v>146</v>
      </c>
      <c r="K187" s="18" t="s">
        <v>136</v>
      </c>
      <c r="L187" s="18" t="s">
        <v>134</v>
      </c>
      <c r="M187" s="18" t="s">
        <v>160</v>
      </c>
      <c r="N187" s="18" t="s">
        <v>32</v>
      </c>
      <c r="O187" s="18" t="s">
        <v>34</v>
      </c>
      <c r="P187" s="18" t="s">
        <v>133</v>
      </c>
      <c r="Q187" s="42" t="s">
        <v>144</v>
      </c>
      <c r="R187" s="18" t="s">
        <v>36</v>
      </c>
      <c r="S187" s="35" t="s">
        <v>38</v>
      </c>
      <c r="T187" s="18" t="s">
        <v>40</v>
      </c>
      <c r="U187" s="18" t="s">
        <v>42</v>
      </c>
      <c r="V187" s="53"/>
      <c r="W187" s="52" t="s">
        <v>146</v>
      </c>
      <c r="X187" s="52" t="s">
        <v>32</v>
      </c>
      <c r="Y187" s="53"/>
      <c r="Z187" s="53"/>
      <c r="AA187" s="65"/>
      <c r="AB187" s="65"/>
      <c r="AC187" s="65"/>
      <c r="AD187" s="65"/>
      <c r="AE187" s="65"/>
    </row>
    <row r="188" spans="1:31" ht="13.5" thickBot="1" x14ac:dyDescent="0.25">
      <c r="A188" s="24" t="s">
        <v>20</v>
      </c>
      <c r="B188" s="25"/>
      <c r="C188" s="25"/>
      <c r="D188" s="25"/>
      <c r="E188" s="25"/>
      <c r="F188" s="25"/>
      <c r="G188" s="25"/>
      <c r="H188" s="27">
        <f>H190+H191+H192+H193+H194+H195+H196+H197+H198+H199+H200+H201</f>
        <v>13283200</v>
      </c>
      <c r="I188" s="26">
        <f>I190+I191+I192+I193+I194+I195+I196+I197+I198+I199+I200+I201</f>
        <v>2160000</v>
      </c>
      <c r="J188" s="27">
        <f>J189+J190+J191+J192+J193+J194+J195+J196+J197+J198+J199+J200+J201</f>
        <v>300000</v>
      </c>
      <c r="K188" s="25"/>
      <c r="L188" s="25"/>
      <c r="M188" s="25"/>
      <c r="N188" s="27"/>
      <c r="O188" s="27"/>
      <c r="P188" s="25"/>
      <c r="Q188" s="29"/>
      <c r="R188" s="25"/>
      <c r="S188" s="25"/>
      <c r="T188" s="25"/>
      <c r="U188" s="31">
        <f>H188+I188+J188+N188+O188</f>
        <v>15743200</v>
      </c>
      <c r="V188" s="53"/>
      <c r="W188" s="54">
        <f>W189+W190+W191+W192+W193+W194+W195+W196+W197+W198+W199+W200+W201</f>
        <v>60000</v>
      </c>
      <c r="X188" s="54">
        <f>X190+X191+X192+X193+X194+X195+X196+X197+X198+X199+X200+X201</f>
        <v>0</v>
      </c>
      <c r="Y188" s="53"/>
      <c r="Z188" s="53"/>
      <c r="AA188" s="65"/>
      <c r="AB188" s="65"/>
      <c r="AC188" s="65"/>
      <c r="AD188" s="65"/>
      <c r="AE188" s="65"/>
    </row>
    <row r="189" spans="1:31" x14ac:dyDescent="0.2">
      <c r="A189" s="19" t="s">
        <v>147</v>
      </c>
      <c r="B189" s="19"/>
      <c r="C189" s="19"/>
      <c r="D189" s="19"/>
      <c r="E189" s="19"/>
      <c r="F189" s="19"/>
      <c r="G189" s="19"/>
      <c r="H189" s="23"/>
      <c r="I189" s="36"/>
      <c r="J189" s="19">
        <v>60000</v>
      </c>
      <c r="K189" s="19"/>
      <c r="L189" s="19"/>
      <c r="M189" s="19"/>
      <c r="N189" s="23"/>
      <c r="O189" s="23"/>
      <c r="P189" s="19"/>
      <c r="Q189" s="23"/>
      <c r="R189" s="19"/>
      <c r="S189" s="19"/>
      <c r="T189" s="19"/>
      <c r="U189" s="39">
        <f t="shared" ref="U189" si="7">H189+I189+J189+N189+O189</f>
        <v>60000</v>
      </c>
      <c r="V189" s="53"/>
      <c r="W189" s="55">
        <v>60000</v>
      </c>
      <c r="X189" s="55"/>
      <c r="Y189" s="53"/>
      <c r="Z189" s="53"/>
      <c r="AA189" s="65"/>
      <c r="AB189" s="65"/>
      <c r="AC189" s="65"/>
      <c r="AD189" s="65"/>
      <c r="AE189" s="65"/>
    </row>
    <row r="190" spans="1:31" x14ac:dyDescent="0.2">
      <c r="A190" s="4" t="s">
        <v>82</v>
      </c>
      <c r="B190" s="4"/>
      <c r="C190" s="4"/>
      <c r="D190" s="4"/>
      <c r="E190" s="4"/>
      <c r="F190" s="4"/>
      <c r="G190" s="4"/>
      <c r="H190" s="4">
        <v>1220800</v>
      </c>
      <c r="I190" s="4">
        <f>48000*6</f>
        <v>288000</v>
      </c>
      <c r="J190" s="4">
        <v>20000</v>
      </c>
      <c r="K190" s="4"/>
      <c r="L190" s="4"/>
      <c r="M190" s="4"/>
      <c r="N190" s="4"/>
      <c r="O190" s="8"/>
      <c r="P190" s="4"/>
      <c r="Q190" s="4"/>
      <c r="R190" s="4"/>
      <c r="S190" s="4"/>
      <c r="T190" s="4"/>
      <c r="U190" s="40">
        <f>H190+I190+J190</f>
        <v>1528800</v>
      </c>
      <c r="V190" s="45"/>
      <c r="W190" s="55"/>
      <c r="X190" s="55"/>
      <c r="Y190" s="53"/>
      <c r="Z190" s="53"/>
      <c r="AA190" s="65"/>
      <c r="AB190" s="65"/>
      <c r="AC190" s="65"/>
      <c r="AD190" s="65"/>
      <c r="AE190" s="65"/>
    </row>
    <row r="191" spans="1:31" x14ac:dyDescent="0.2">
      <c r="A191" s="4" t="s">
        <v>83</v>
      </c>
      <c r="B191" s="4"/>
      <c r="C191" s="4"/>
      <c r="D191" s="4"/>
      <c r="E191" s="4"/>
      <c r="F191" s="4"/>
      <c r="G191" s="4"/>
      <c r="H191" s="4">
        <v>1680000</v>
      </c>
      <c r="I191" s="4">
        <f>48000*9</f>
        <v>432000</v>
      </c>
      <c r="J191" s="4">
        <v>20000</v>
      </c>
      <c r="K191" s="4"/>
      <c r="L191" s="4"/>
      <c r="M191" s="4"/>
      <c r="N191" s="4"/>
      <c r="O191" s="8"/>
      <c r="P191" s="4"/>
      <c r="Q191" s="4"/>
      <c r="R191" s="4"/>
      <c r="S191" s="4"/>
      <c r="T191" s="4"/>
      <c r="U191" s="40">
        <f t="shared" ref="U191:U201" si="8">H191+I191+J191</f>
        <v>2132000</v>
      </c>
      <c r="V191" s="45"/>
      <c r="W191" s="55"/>
      <c r="X191" s="55"/>
      <c r="Y191" s="53"/>
      <c r="Z191" s="53"/>
      <c r="AA191" s="65"/>
      <c r="AB191" s="65"/>
      <c r="AC191" s="65"/>
      <c r="AD191" s="65"/>
      <c r="AE191" s="65"/>
    </row>
    <row r="192" spans="1:31" x14ac:dyDescent="0.2">
      <c r="A192" s="4" t="s">
        <v>84</v>
      </c>
      <c r="B192" s="4"/>
      <c r="C192" s="4"/>
      <c r="D192" s="4"/>
      <c r="E192" s="4"/>
      <c r="F192" s="4"/>
      <c r="G192" s="4"/>
      <c r="H192" s="4">
        <v>985600</v>
      </c>
      <c r="I192" s="4">
        <f>48000*3</f>
        <v>144000</v>
      </c>
      <c r="J192" s="4">
        <v>20000</v>
      </c>
      <c r="K192" s="4"/>
      <c r="L192" s="4"/>
      <c r="M192" s="4"/>
      <c r="N192" s="4"/>
      <c r="O192" s="8"/>
      <c r="P192" s="4"/>
      <c r="Q192" s="4"/>
      <c r="R192" s="4"/>
      <c r="S192" s="4"/>
      <c r="T192" s="4"/>
      <c r="U192" s="40">
        <f t="shared" si="8"/>
        <v>1149600</v>
      </c>
      <c r="V192" s="45"/>
      <c r="W192" s="55"/>
      <c r="X192" s="55"/>
      <c r="Y192" s="53"/>
      <c r="Z192" s="53"/>
      <c r="AA192" s="65"/>
      <c r="AB192" s="65"/>
      <c r="AC192" s="65"/>
      <c r="AD192" s="65"/>
      <c r="AE192" s="65"/>
    </row>
    <row r="193" spans="1:31" x14ac:dyDescent="0.2">
      <c r="A193" s="4" t="s">
        <v>85</v>
      </c>
      <c r="B193" s="4"/>
      <c r="C193" s="4"/>
      <c r="D193" s="4"/>
      <c r="E193" s="4"/>
      <c r="F193" s="4"/>
      <c r="G193" s="4"/>
      <c r="H193" s="4">
        <v>683200</v>
      </c>
      <c r="I193" s="4">
        <f>48000*1</f>
        <v>48000</v>
      </c>
      <c r="J193" s="4">
        <v>20000</v>
      </c>
      <c r="K193" s="4"/>
      <c r="L193" s="4"/>
      <c r="M193" s="4"/>
      <c r="N193" s="4"/>
      <c r="O193" s="8"/>
      <c r="P193" s="4"/>
      <c r="Q193" s="4"/>
      <c r="R193" s="4"/>
      <c r="S193" s="4"/>
      <c r="T193" s="4"/>
      <c r="U193" s="40">
        <f t="shared" si="8"/>
        <v>751200</v>
      </c>
      <c r="V193" s="45"/>
      <c r="W193" s="55"/>
      <c r="X193" s="55"/>
      <c r="Y193" s="53"/>
      <c r="Z193" s="53"/>
      <c r="AA193" s="65"/>
      <c r="AB193" s="65"/>
      <c r="AC193" s="65"/>
      <c r="AD193" s="65"/>
      <c r="AE193" s="65"/>
    </row>
    <row r="194" spans="1:31" x14ac:dyDescent="0.2">
      <c r="A194" s="4" t="s">
        <v>86</v>
      </c>
      <c r="B194" s="4"/>
      <c r="C194" s="4"/>
      <c r="D194" s="4"/>
      <c r="E194" s="4"/>
      <c r="F194" s="4"/>
      <c r="G194" s="4"/>
      <c r="H194" s="4">
        <v>1232000</v>
      </c>
      <c r="I194" s="4">
        <f>48000*5</f>
        <v>240000</v>
      </c>
      <c r="J194" s="4">
        <v>20000</v>
      </c>
      <c r="K194" s="4"/>
      <c r="L194" s="4"/>
      <c r="M194" s="4"/>
      <c r="N194" s="4"/>
      <c r="O194" s="8"/>
      <c r="P194" s="4"/>
      <c r="Q194" s="4"/>
      <c r="R194" s="4"/>
      <c r="S194" s="4"/>
      <c r="T194" s="4"/>
      <c r="U194" s="40">
        <f t="shared" si="8"/>
        <v>1492000</v>
      </c>
      <c r="V194" s="45"/>
      <c r="W194" s="55"/>
      <c r="X194" s="55"/>
      <c r="Y194" s="53"/>
      <c r="Z194" s="53"/>
      <c r="AA194" s="65"/>
      <c r="AB194" s="65"/>
      <c r="AC194" s="65"/>
      <c r="AD194" s="65"/>
      <c r="AE194" s="65"/>
    </row>
    <row r="195" spans="1:31" x14ac:dyDescent="0.2">
      <c r="A195" s="4" t="s">
        <v>87</v>
      </c>
      <c r="B195" s="4"/>
      <c r="C195" s="4"/>
      <c r="D195" s="4"/>
      <c r="E195" s="4"/>
      <c r="F195" s="4"/>
      <c r="G195" s="4"/>
      <c r="H195" s="4">
        <v>716800</v>
      </c>
      <c r="I195" s="4">
        <f>48000*1</f>
        <v>48000</v>
      </c>
      <c r="J195" s="4">
        <v>20000</v>
      </c>
      <c r="K195" s="4"/>
      <c r="L195" s="4"/>
      <c r="M195" s="4"/>
      <c r="N195" s="4"/>
      <c r="O195" s="8"/>
      <c r="P195" s="4"/>
      <c r="Q195" s="4"/>
      <c r="R195" s="4"/>
      <c r="S195" s="4"/>
      <c r="T195" s="4"/>
      <c r="U195" s="40">
        <f t="shared" si="8"/>
        <v>784800</v>
      </c>
      <c r="V195" s="45"/>
      <c r="W195" s="55"/>
      <c r="X195" s="55"/>
      <c r="Y195" s="53"/>
      <c r="Z195" s="53"/>
      <c r="AA195" s="65"/>
      <c r="AB195" s="65"/>
      <c r="AC195" s="65"/>
      <c r="AD195" s="65"/>
      <c r="AE195" s="65"/>
    </row>
    <row r="196" spans="1:31" x14ac:dyDescent="0.2">
      <c r="A196" s="4" t="s">
        <v>88</v>
      </c>
      <c r="B196" s="4"/>
      <c r="C196" s="4"/>
      <c r="D196" s="4"/>
      <c r="E196" s="4"/>
      <c r="F196" s="4"/>
      <c r="G196" s="4"/>
      <c r="H196" s="4">
        <v>1691200</v>
      </c>
      <c r="I196" s="4">
        <f>48000*5</f>
        <v>240000</v>
      </c>
      <c r="J196" s="4">
        <v>20000</v>
      </c>
      <c r="K196" s="4"/>
      <c r="L196" s="4"/>
      <c r="M196" s="4"/>
      <c r="N196" s="4"/>
      <c r="O196" s="8"/>
      <c r="P196" s="4"/>
      <c r="Q196" s="4"/>
      <c r="R196" s="4"/>
      <c r="S196" s="4"/>
      <c r="T196" s="4"/>
      <c r="U196" s="40">
        <f t="shared" si="8"/>
        <v>1951200</v>
      </c>
      <c r="V196" s="45"/>
      <c r="W196" s="55"/>
      <c r="X196" s="55"/>
      <c r="Y196" s="53"/>
      <c r="Z196" s="53"/>
      <c r="AA196" s="65"/>
      <c r="AB196" s="65"/>
      <c r="AC196" s="65"/>
      <c r="AD196" s="65"/>
      <c r="AE196" s="65"/>
    </row>
    <row r="197" spans="1:31" x14ac:dyDescent="0.2">
      <c r="A197" s="4" t="s">
        <v>89</v>
      </c>
      <c r="B197" s="4"/>
      <c r="C197" s="4"/>
      <c r="D197" s="4"/>
      <c r="E197" s="4"/>
      <c r="F197" s="4"/>
      <c r="G197" s="4"/>
      <c r="H197" s="4">
        <v>1064000</v>
      </c>
      <c r="I197" s="4">
        <f>48000*3</f>
        <v>144000</v>
      </c>
      <c r="J197" s="4">
        <v>20000</v>
      </c>
      <c r="K197" s="4"/>
      <c r="L197" s="4"/>
      <c r="M197" s="4"/>
      <c r="N197" s="4"/>
      <c r="O197" s="8"/>
      <c r="P197" s="4"/>
      <c r="Q197" s="4"/>
      <c r="R197" s="4"/>
      <c r="S197" s="4"/>
      <c r="T197" s="4"/>
      <c r="U197" s="40">
        <f t="shared" si="8"/>
        <v>1228000</v>
      </c>
      <c r="V197" s="45"/>
      <c r="W197" s="55"/>
      <c r="X197" s="55"/>
      <c r="Y197" s="53"/>
      <c r="Z197" s="53"/>
      <c r="AA197" s="65"/>
      <c r="AB197" s="65"/>
      <c r="AC197" s="65"/>
      <c r="AD197" s="65"/>
      <c r="AE197" s="65"/>
    </row>
    <row r="198" spans="1:31" x14ac:dyDescent="0.2">
      <c r="A198" s="4" t="s">
        <v>90</v>
      </c>
      <c r="B198" s="4"/>
      <c r="C198" s="4"/>
      <c r="D198" s="4"/>
      <c r="E198" s="4"/>
      <c r="F198" s="4"/>
      <c r="G198" s="4"/>
      <c r="H198" s="4">
        <v>1601600</v>
      </c>
      <c r="I198" s="4">
        <f>48000*3</f>
        <v>144000</v>
      </c>
      <c r="J198" s="4">
        <v>20000</v>
      </c>
      <c r="K198" s="4"/>
      <c r="L198" s="4"/>
      <c r="M198" s="4"/>
      <c r="N198" s="4"/>
      <c r="O198" s="8"/>
      <c r="P198" s="4"/>
      <c r="Q198" s="4"/>
      <c r="R198" s="4"/>
      <c r="S198" s="4"/>
      <c r="T198" s="4"/>
      <c r="U198" s="40">
        <f t="shared" si="8"/>
        <v>1765600</v>
      </c>
      <c r="V198" s="45"/>
      <c r="W198" s="55"/>
      <c r="X198" s="55"/>
      <c r="Y198" s="53"/>
      <c r="Z198" s="53"/>
      <c r="AA198" s="65"/>
      <c r="AB198" s="65"/>
      <c r="AC198" s="65"/>
      <c r="AD198" s="65"/>
      <c r="AE198" s="65"/>
    </row>
    <row r="199" spans="1:31" x14ac:dyDescent="0.2">
      <c r="A199" s="4" t="s">
        <v>91</v>
      </c>
      <c r="B199" s="4"/>
      <c r="C199" s="4"/>
      <c r="D199" s="4"/>
      <c r="E199" s="4"/>
      <c r="F199" s="4"/>
      <c r="G199" s="4"/>
      <c r="H199" s="4">
        <v>750400</v>
      </c>
      <c r="I199" s="4">
        <f>48000*2</f>
        <v>96000</v>
      </c>
      <c r="J199" s="4">
        <v>20000</v>
      </c>
      <c r="K199" s="4"/>
      <c r="L199" s="4"/>
      <c r="M199" s="4"/>
      <c r="N199" s="4"/>
      <c r="O199" s="8"/>
      <c r="P199" s="4"/>
      <c r="Q199" s="4"/>
      <c r="R199" s="4"/>
      <c r="S199" s="4"/>
      <c r="T199" s="4"/>
      <c r="U199" s="40">
        <f t="shared" si="8"/>
        <v>866400</v>
      </c>
      <c r="V199" s="45"/>
      <c r="W199" s="55"/>
      <c r="X199" s="55"/>
      <c r="Y199" s="53"/>
      <c r="Z199" s="53"/>
      <c r="AA199" s="65"/>
      <c r="AB199" s="65"/>
      <c r="AC199" s="65"/>
      <c r="AD199" s="65"/>
      <c r="AE199" s="65"/>
    </row>
    <row r="200" spans="1:31" x14ac:dyDescent="0.2">
      <c r="A200" s="4" t="s">
        <v>92</v>
      </c>
      <c r="B200" s="4"/>
      <c r="C200" s="4"/>
      <c r="D200" s="4"/>
      <c r="E200" s="4"/>
      <c r="F200" s="4"/>
      <c r="G200" s="4"/>
      <c r="H200" s="4">
        <v>369600</v>
      </c>
      <c r="I200" s="4">
        <f>48000*2</f>
        <v>96000</v>
      </c>
      <c r="J200" s="4">
        <v>20000</v>
      </c>
      <c r="K200" s="4"/>
      <c r="L200" s="4"/>
      <c r="M200" s="4"/>
      <c r="N200" s="4"/>
      <c r="O200" s="8"/>
      <c r="P200" s="4"/>
      <c r="Q200" s="4"/>
      <c r="R200" s="4"/>
      <c r="S200" s="4"/>
      <c r="T200" s="4"/>
      <c r="U200" s="40">
        <f t="shared" si="8"/>
        <v>485600</v>
      </c>
      <c r="V200" s="45"/>
      <c r="W200" s="55"/>
      <c r="X200" s="55"/>
      <c r="Y200" s="53"/>
      <c r="Z200" s="53"/>
      <c r="AA200" s="65"/>
      <c r="AB200" s="65"/>
      <c r="AC200" s="65"/>
      <c r="AD200" s="65"/>
      <c r="AE200" s="65"/>
    </row>
    <row r="201" spans="1:31" x14ac:dyDescent="0.2">
      <c r="A201" s="4" t="s">
        <v>93</v>
      </c>
      <c r="B201" s="4"/>
      <c r="C201" s="4"/>
      <c r="D201" s="4"/>
      <c r="E201" s="4"/>
      <c r="F201" s="4"/>
      <c r="G201" s="4"/>
      <c r="H201" s="4">
        <v>1288000</v>
      </c>
      <c r="I201" s="4">
        <f>48000*5</f>
        <v>240000</v>
      </c>
      <c r="J201" s="4">
        <v>20000</v>
      </c>
      <c r="K201" s="4"/>
      <c r="L201" s="4"/>
      <c r="M201" s="4"/>
      <c r="N201" s="4"/>
      <c r="O201" s="8"/>
      <c r="P201" s="4"/>
      <c r="Q201" s="4"/>
      <c r="R201" s="4"/>
      <c r="S201" s="4"/>
      <c r="T201" s="4"/>
      <c r="U201" s="40">
        <f t="shared" si="8"/>
        <v>1548000</v>
      </c>
      <c r="V201" s="45"/>
      <c r="W201" s="55"/>
      <c r="X201" s="55"/>
      <c r="Y201" s="53"/>
      <c r="Z201" s="53"/>
      <c r="AA201" s="65"/>
      <c r="AB201" s="65"/>
      <c r="AC201" s="65"/>
      <c r="AD201" s="65"/>
      <c r="AE201" s="65"/>
    </row>
    <row r="202" spans="1:31" ht="18.75" x14ac:dyDescent="0.3">
      <c r="A202" s="33" t="s">
        <v>151</v>
      </c>
      <c r="B202" s="33"/>
      <c r="C202" s="33"/>
      <c r="D202" s="33"/>
      <c r="E202" s="33"/>
      <c r="F202" s="33"/>
      <c r="G202" s="33"/>
      <c r="H202" s="44"/>
      <c r="I202" s="33"/>
      <c r="J202" s="33"/>
      <c r="K202" s="33"/>
      <c r="L202" s="33"/>
      <c r="M202" s="33"/>
      <c r="N202" s="44"/>
      <c r="O202" s="33"/>
      <c r="P202" s="33"/>
      <c r="Q202" s="33"/>
      <c r="R202" s="33"/>
      <c r="S202" s="33"/>
      <c r="T202" s="33"/>
      <c r="U202" s="43"/>
      <c r="V202" s="56">
        <f>SUM(V190:V201)</f>
        <v>0</v>
      </c>
      <c r="W202" s="53"/>
      <c r="X202" s="53"/>
      <c r="Y202" s="53"/>
      <c r="Z202" s="53"/>
      <c r="AA202" s="65"/>
      <c r="AB202" s="65"/>
      <c r="AC202" s="65"/>
      <c r="AD202" s="65"/>
      <c r="AE202" s="65"/>
    </row>
    <row r="203" spans="1:31" ht="13.5" x14ac:dyDescent="0.25">
      <c r="A203" s="59" t="s">
        <v>152</v>
      </c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</row>
    <row r="204" spans="1:31" ht="13.5" x14ac:dyDescent="0.25">
      <c r="A204" s="59" t="s">
        <v>155</v>
      </c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</row>
    <row r="205" spans="1:31" ht="13.5" x14ac:dyDescent="0.25">
      <c r="A205" s="59" t="s">
        <v>153</v>
      </c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</row>
    <row r="206" spans="1:31" ht="13.5" x14ac:dyDescent="0.25">
      <c r="A206" s="59" t="s">
        <v>156</v>
      </c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</row>
    <row r="207" spans="1:31" ht="13.5" x14ac:dyDescent="0.25">
      <c r="A207" s="59" t="s">
        <v>154</v>
      </c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</row>
    <row r="208" spans="1:31" ht="13.5" x14ac:dyDescent="0.25">
      <c r="A208" s="59" t="s">
        <v>157</v>
      </c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</row>
    <row r="209" spans="1:31" ht="13.5" x14ac:dyDescent="0.25">
      <c r="A209" s="59" t="s">
        <v>164</v>
      </c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</row>
    <row r="210" spans="1:31" ht="13.5" x14ac:dyDescent="0.25">
      <c r="A210" s="59" t="s">
        <v>165</v>
      </c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</row>
    <row r="211" spans="1:31" ht="13.5" x14ac:dyDescent="0.25">
      <c r="A211" s="59" t="s">
        <v>159</v>
      </c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</row>
    <row r="212" spans="1:31" ht="13.5" x14ac:dyDescent="0.25">
      <c r="A212" s="59" t="s">
        <v>166</v>
      </c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</row>
    <row r="213" spans="1:31" ht="13.5" x14ac:dyDescent="0.25">
      <c r="A213" s="59" t="s">
        <v>167</v>
      </c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</row>
    <row r="214" spans="1:31" ht="14.25" x14ac:dyDescent="0.25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0"/>
      <c r="O214" s="50"/>
      <c r="P214" s="50"/>
      <c r="Q214" s="50"/>
      <c r="R214" s="50"/>
      <c r="S214" s="50"/>
      <c r="T214" s="50"/>
      <c r="U214" s="50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</row>
    <row r="215" spans="1:31" ht="17.25" x14ac:dyDescent="0.3">
      <c r="A215" s="94" t="s">
        <v>184</v>
      </c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0"/>
      <c r="O215" s="50"/>
      <c r="P215" s="50"/>
      <c r="Q215" s="50"/>
      <c r="R215" s="50"/>
      <c r="S215" s="50"/>
      <c r="T215" s="50"/>
      <c r="U215" s="50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</row>
    <row r="216" spans="1:31" ht="14.25" x14ac:dyDescent="0.2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0"/>
      <c r="O216" s="50"/>
      <c r="P216" s="50"/>
      <c r="Q216" s="50"/>
      <c r="R216" s="50"/>
      <c r="S216" s="50"/>
      <c r="T216" s="50"/>
      <c r="U216" s="50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</row>
    <row r="217" spans="1:31" ht="14.25" x14ac:dyDescent="0.25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0"/>
      <c r="O217" s="50"/>
      <c r="P217" s="50"/>
      <c r="Q217" s="50"/>
      <c r="R217" s="50"/>
      <c r="S217" s="50"/>
      <c r="T217" s="50"/>
      <c r="U217" s="50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</row>
    <row r="218" spans="1:31" ht="14.25" x14ac:dyDescent="0.25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0"/>
      <c r="O218" s="50"/>
      <c r="P218" s="50"/>
      <c r="Q218" s="50"/>
      <c r="R218" s="50"/>
      <c r="S218" s="50"/>
      <c r="T218" s="50"/>
      <c r="U218" s="50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</row>
    <row r="219" spans="1:31" ht="14.25" x14ac:dyDescent="0.25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0"/>
      <c r="O219" s="50"/>
      <c r="P219" s="50"/>
      <c r="Q219" s="50"/>
      <c r="R219" s="50"/>
      <c r="S219" s="50"/>
      <c r="T219" s="50"/>
      <c r="U219" s="50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</row>
    <row r="220" spans="1:31" ht="14.25" x14ac:dyDescent="0.25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0"/>
      <c r="O220" s="50"/>
      <c r="P220" s="50"/>
      <c r="Q220" s="50"/>
      <c r="R220" s="50"/>
      <c r="S220" s="50"/>
      <c r="T220" s="50"/>
      <c r="U220" s="50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</row>
    <row r="221" spans="1:31" x14ac:dyDescent="0.2"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</row>
    <row r="222" spans="1:31" x14ac:dyDescent="0.2">
      <c r="A222" s="6" t="s">
        <v>6</v>
      </c>
      <c r="V222" s="53"/>
      <c r="W222" s="53"/>
      <c r="X222" s="53"/>
      <c r="Y222" s="53"/>
      <c r="Z222" s="65"/>
      <c r="AA222" s="65"/>
      <c r="AB222" s="65"/>
      <c r="AC222" s="65"/>
      <c r="AD222" s="65"/>
      <c r="AE222" s="65"/>
    </row>
    <row r="223" spans="1:31" x14ac:dyDescent="0.2">
      <c r="A223" s="14" t="s">
        <v>0</v>
      </c>
      <c r="B223" s="14" t="s">
        <v>46</v>
      </c>
      <c r="C223" s="14" t="s">
        <v>26</v>
      </c>
      <c r="D223" s="14" t="s">
        <v>46</v>
      </c>
      <c r="E223" s="14" t="s">
        <v>28</v>
      </c>
      <c r="F223" s="14" t="s">
        <v>43</v>
      </c>
      <c r="G223" s="14" t="s">
        <v>43</v>
      </c>
      <c r="H223" s="14" t="s">
        <v>14</v>
      </c>
      <c r="I223" s="14" t="s">
        <v>138</v>
      </c>
      <c r="J223" s="14" t="s">
        <v>30</v>
      </c>
      <c r="K223" s="14" t="s">
        <v>135</v>
      </c>
      <c r="L223" s="14" t="s">
        <v>13</v>
      </c>
      <c r="M223" s="14" t="s">
        <v>13</v>
      </c>
      <c r="N223" s="14" t="s">
        <v>31</v>
      </c>
      <c r="O223" s="14" t="s">
        <v>33</v>
      </c>
      <c r="P223" s="14" t="s">
        <v>33</v>
      </c>
      <c r="Q223" s="14" t="s">
        <v>145</v>
      </c>
      <c r="R223" s="14" t="s">
        <v>35</v>
      </c>
      <c r="S223" s="34" t="s">
        <v>37</v>
      </c>
      <c r="T223" s="14" t="s">
        <v>39</v>
      </c>
      <c r="U223" s="14" t="s">
        <v>41</v>
      </c>
      <c r="V223" s="53"/>
      <c r="W223" s="52" t="s">
        <v>30</v>
      </c>
      <c r="X223" s="52" t="s">
        <v>31</v>
      </c>
      <c r="Y223" s="53"/>
      <c r="Z223" s="65"/>
      <c r="AA223" s="65"/>
      <c r="AB223" s="65"/>
      <c r="AC223" s="65"/>
      <c r="AD223" s="65"/>
      <c r="AE223" s="65"/>
    </row>
    <row r="224" spans="1:31" ht="13.5" thickBot="1" x14ac:dyDescent="0.25">
      <c r="A224" s="18"/>
      <c r="B224" s="18" t="s">
        <v>48</v>
      </c>
      <c r="C224" s="18" t="s">
        <v>27</v>
      </c>
      <c r="D224" s="18" t="s">
        <v>47</v>
      </c>
      <c r="E224" s="18" t="s">
        <v>29</v>
      </c>
      <c r="F224" s="18" t="s">
        <v>44</v>
      </c>
      <c r="G224" s="18" t="s">
        <v>45</v>
      </c>
      <c r="H224" s="21" t="s">
        <v>137</v>
      </c>
      <c r="I224" s="18" t="s">
        <v>139</v>
      </c>
      <c r="J224" s="18" t="s">
        <v>146</v>
      </c>
      <c r="K224" s="18" t="s">
        <v>136</v>
      </c>
      <c r="L224" s="18" t="s">
        <v>134</v>
      </c>
      <c r="M224" s="18" t="s">
        <v>160</v>
      </c>
      <c r="N224" s="18" t="s">
        <v>32</v>
      </c>
      <c r="O224" s="18" t="s">
        <v>34</v>
      </c>
      <c r="P224" s="18" t="s">
        <v>133</v>
      </c>
      <c r="Q224" s="42" t="s">
        <v>144</v>
      </c>
      <c r="R224" s="18" t="s">
        <v>36</v>
      </c>
      <c r="S224" s="35" t="s">
        <v>38</v>
      </c>
      <c r="T224" s="18" t="s">
        <v>40</v>
      </c>
      <c r="U224" s="18" t="s">
        <v>42</v>
      </c>
      <c r="V224" s="53"/>
      <c r="W224" s="52" t="s">
        <v>146</v>
      </c>
      <c r="X224" s="52" t="s">
        <v>32</v>
      </c>
      <c r="Y224" s="53"/>
      <c r="Z224" s="65"/>
      <c r="AA224" s="65"/>
      <c r="AB224" s="65"/>
      <c r="AC224" s="65"/>
      <c r="AD224" s="65"/>
      <c r="AE224" s="65"/>
    </row>
    <row r="225" spans="1:31" ht="13.5" thickBot="1" x14ac:dyDescent="0.25">
      <c r="A225" s="24" t="s">
        <v>21</v>
      </c>
      <c r="B225" s="25"/>
      <c r="C225" s="25"/>
      <c r="D225" s="25"/>
      <c r="E225" s="25"/>
      <c r="F225" s="25"/>
      <c r="G225" s="25"/>
      <c r="H225" s="27">
        <f>H227+H228+H229+H230+H231+H232+H233+H234</f>
        <v>8467200</v>
      </c>
      <c r="I225" s="26">
        <f>I227+I228+I229+I230+I231+I232+I233+I234</f>
        <v>1776000</v>
      </c>
      <c r="J225" s="27">
        <f>J226+J227+J228+J229+J230+J231+J232+J233+J234</f>
        <v>220000</v>
      </c>
      <c r="K225" s="25"/>
      <c r="L225" s="25"/>
      <c r="M225" s="25"/>
      <c r="N225" s="27"/>
      <c r="O225" s="27"/>
      <c r="P225" s="25"/>
      <c r="Q225" s="25"/>
      <c r="R225" s="25"/>
      <c r="S225" s="25"/>
      <c r="T225" s="25"/>
      <c r="U225" s="31">
        <f>H225+I225+J225+N225+O225</f>
        <v>10463200</v>
      </c>
      <c r="V225" s="53"/>
      <c r="W225" s="54">
        <f>W226+W227+W228+W229+W230+W231+W232+W233+W234</f>
        <v>6872800</v>
      </c>
      <c r="X225" s="54">
        <f>X227+X228+X229+X230+X231+X232+X233+X234</f>
        <v>2098800</v>
      </c>
      <c r="Y225" s="53"/>
      <c r="Z225" s="65"/>
      <c r="AA225" s="65"/>
      <c r="AB225" s="65"/>
      <c r="AC225" s="65"/>
      <c r="AD225" s="65"/>
      <c r="AE225" s="65"/>
    </row>
    <row r="226" spans="1:31" x14ac:dyDescent="0.2">
      <c r="A226" s="19" t="s">
        <v>148</v>
      </c>
      <c r="B226" s="19"/>
      <c r="C226" s="19"/>
      <c r="D226" s="19"/>
      <c r="E226" s="19"/>
      <c r="F226" s="19"/>
      <c r="G226" s="19"/>
      <c r="H226" s="23"/>
      <c r="I226" s="36"/>
      <c r="J226" s="19">
        <v>60000</v>
      </c>
      <c r="K226" s="19"/>
      <c r="L226" s="19"/>
      <c r="M226" s="19"/>
      <c r="N226" s="23"/>
      <c r="O226" s="23"/>
      <c r="P226" s="19"/>
      <c r="Q226" s="23"/>
      <c r="R226" s="23"/>
      <c r="S226" s="23"/>
      <c r="T226" s="23"/>
      <c r="U226" s="39">
        <f t="shared" ref="U226" si="9">H226+I226+J226+N226+O226</f>
        <v>60000</v>
      </c>
      <c r="V226" s="53"/>
      <c r="W226" s="55">
        <v>60000</v>
      </c>
      <c r="X226" s="55"/>
      <c r="Y226" s="53"/>
      <c r="Z226" s="65"/>
      <c r="AA226" s="65"/>
      <c r="AB226" s="65"/>
      <c r="AC226" s="65"/>
      <c r="AD226" s="65"/>
      <c r="AE226" s="65"/>
    </row>
    <row r="227" spans="1:31" x14ac:dyDescent="0.2">
      <c r="A227" s="4" t="s">
        <v>94</v>
      </c>
      <c r="B227" s="4"/>
      <c r="C227" s="4"/>
      <c r="D227" s="4"/>
      <c r="E227" s="4"/>
      <c r="F227" s="4"/>
      <c r="G227" s="4"/>
      <c r="H227" s="4">
        <v>1388800</v>
      </c>
      <c r="I227" s="4">
        <f>48000*8</f>
        <v>384000</v>
      </c>
      <c r="J227" s="4">
        <v>20000</v>
      </c>
      <c r="K227" s="4"/>
      <c r="L227" s="4"/>
      <c r="M227" s="4"/>
      <c r="N227" s="4"/>
      <c r="O227" s="8"/>
      <c r="P227" s="4"/>
      <c r="Q227" s="4"/>
      <c r="R227" s="4"/>
      <c r="S227" s="4"/>
      <c r="T227" s="4"/>
      <c r="U227" s="40">
        <f>H227+I227+J227</f>
        <v>1792800</v>
      </c>
      <c r="V227" s="45"/>
      <c r="W227" s="55">
        <v>1111200</v>
      </c>
      <c r="X227" s="55">
        <v>330000</v>
      </c>
      <c r="Y227" s="53"/>
      <c r="Z227" s="65"/>
      <c r="AA227" s="65"/>
      <c r="AB227" s="65"/>
      <c r="AC227" s="65"/>
      <c r="AD227" s="65"/>
      <c r="AE227" s="65"/>
    </row>
    <row r="228" spans="1:31" x14ac:dyDescent="0.2">
      <c r="A228" s="4" t="s">
        <v>95</v>
      </c>
      <c r="B228" s="4"/>
      <c r="C228" s="4"/>
      <c r="D228" s="4"/>
      <c r="E228" s="4"/>
      <c r="F228" s="4"/>
      <c r="G228" s="4"/>
      <c r="H228" s="4">
        <v>2094400</v>
      </c>
      <c r="I228" s="4">
        <f>48000*16</f>
        <v>768000</v>
      </c>
      <c r="J228" s="4">
        <v>20000</v>
      </c>
      <c r="K228" s="4"/>
      <c r="L228" s="4"/>
      <c r="M228" s="4"/>
      <c r="N228" s="4"/>
      <c r="O228" s="8"/>
      <c r="P228" s="4"/>
      <c r="Q228" s="4"/>
      <c r="R228" s="4"/>
      <c r="S228" s="4"/>
      <c r="T228" s="4"/>
      <c r="U228" s="40">
        <f t="shared" ref="U228:U234" si="10">H228+I228+J228</f>
        <v>2882400</v>
      </c>
      <c r="V228" s="45"/>
      <c r="W228" s="55">
        <v>1665600</v>
      </c>
      <c r="X228" s="55">
        <v>501600</v>
      </c>
      <c r="Y228" s="53"/>
      <c r="Z228" s="65"/>
      <c r="AA228" s="65"/>
      <c r="AB228" s="65"/>
      <c r="AC228" s="65"/>
      <c r="AD228" s="65"/>
      <c r="AE228" s="65"/>
    </row>
    <row r="229" spans="1:31" x14ac:dyDescent="0.2">
      <c r="A229" s="4" t="s">
        <v>96</v>
      </c>
      <c r="B229" s="4"/>
      <c r="C229" s="4"/>
      <c r="D229" s="4"/>
      <c r="E229" s="4"/>
      <c r="F229" s="4"/>
      <c r="G229" s="4"/>
      <c r="H229" s="4">
        <v>1041600</v>
      </c>
      <c r="I229" s="4">
        <f>48000*1</f>
        <v>48000</v>
      </c>
      <c r="J229" s="4">
        <v>20000</v>
      </c>
      <c r="K229" s="4"/>
      <c r="L229" s="4"/>
      <c r="M229" s="4"/>
      <c r="N229" s="4"/>
      <c r="O229" s="8"/>
      <c r="P229" s="4"/>
      <c r="Q229" s="4"/>
      <c r="R229" s="4"/>
      <c r="S229" s="4"/>
      <c r="T229" s="4"/>
      <c r="U229" s="40">
        <f t="shared" si="10"/>
        <v>1109600</v>
      </c>
      <c r="V229" s="45"/>
      <c r="W229" s="55">
        <v>838400</v>
      </c>
      <c r="X229" s="55">
        <v>264000</v>
      </c>
      <c r="Y229" s="53"/>
      <c r="Z229" s="65"/>
      <c r="AA229" s="65"/>
      <c r="AB229" s="65"/>
      <c r="AC229" s="65"/>
      <c r="AD229" s="65"/>
      <c r="AE229" s="65"/>
    </row>
    <row r="230" spans="1:31" x14ac:dyDescent="0.2">
      <c r="A230" s="4" t="s">
        <v>98</v>
      </c>
      <c r="B230" s="4"/>
      <c r="C230" s="4"/>
      <c r="D230" s="4"/>
      <c r="E230" s="4"/>
      <c r="F230" s="4"/>
      <c r="G230" s="4"/>
      <c r="H230" s="4">
        <v>560000</v>
      </c>
      <c r="I230" s="4">
        <f>48000*2</f>
        <v>96000</v>
      </c>
      <c r="J230" s="4">
        <v>20000</v>
      </c>
      <c r="K230" s="4"/>
      <c r="L230" s="4"/>
      <c r="M230" s="4"/>
      <c r="N230" s="4"/>
      <c r="O230" s="8"/>
      <c r="P230" s="4"/>
      <c r="Q230" s="4"/>
      <c r="R230" s="4"/>
      <c r="S230" s="4"/>
      <c r="T230" s="4"/>
      <c r="U230" s="40">
        <f t="shared" si="10"/>
        <v>676000</v>
      </c>
      <c r="V230" s="45"/>
      <c r="W230" s="55">
        <v>460000</v>
      </c>
      <c r="X230" s="55">
        <v>132000</v>
      </c>
      <c r="Y230" s="53"/>
      <c r="Z230" s="65"/>
      <c r="AA230" s="65"/>
      <c r="AB230" s="65"/>
      <c r="AC230" s="65"/>
      <c r="AD230" s="65"/>
      <c r="AE230" s="65"/>
    </row>
    <row r="231" spans="1:31" x14ac:dyDescent="0.2">
      <c r="A231" s="4" t="s">
        <v>97</v>
      </c>
      <c r="B231" s="4"/>
      <c r="C231" s="4"/>
      <c r="D231" s="4"/>
      <c r="E231" s="4"/>
      <c r="F231" s="4"/>
      <c r="G231" s="4"/>
      <c r="H231" s="4">
        <v>907200</v>
      </c>
      <c r="I231" s="4">
        <f>48000*1</f>
        <v>48000</v>
      </c>
      <c r="J231" s="4">
        <v>20000</v>
      </c>
      <c r="K231" s="4"/>
      <c r="L231" s="4"/>
      <c r="M231" s="4"/>
      <c r="N231" s="4"/>
      <c r="O231" s="8"/>
      <c r="P231" s="4"/>
      <c r="Q231" s="4"/>
      <c r="R231" s="4"/>
      <c r="S231" s="4"/>
      <c r="T231" s="4"/>
      <c r="U231" s="40">
        <f t="shared" si="10"/>
        <v>975200</v>
      </c>
      <c r="V231" s="45"/>
      <c r="W231" s="55">
        <v>732800</v>
      </c>
      <c r="X231" s="55">
        <v>237600</v>
      </c>
      <c r="Y231" s="53"/>
      <c r="Z231" s="65"/>
      <c r="AA231" s="65"/>
      <c r="AB231" s="65"/>
      <c r="AC231" s="65"/>
      <c r="AD231" s="65"/>
      <c r="AE231" s="65"/>
    </row>
    <row r="232" spans="1:31" x14ac:dyDescent="0.2">
      <c r="A232" s="4" t="s">
        <v>99</v>
      </c>
      <c r="B232" s="4"/>
      <c r="C232" s="4"/>
      <c r="D232" s="4"/>
      <c r="E232" s="4"/>
      <c r="F232" s="4"/>
      <c r="G232" s="4"/>
      <c r="H232" s="4">
        <v>716800</v>
      </c>
      <c r="I232" s="4">
        <f>48000*1</f>
        <v>48000</v>
      </c>
      <c r="J232" s="4">
        <v>20000</v>
      </c>
      <c r="K232" s="4"/>
      <c r="L232" s="4"/>
      <c r="M232" s="4"/>
      <c r="N232" s="4"/>
      <c r="O232" s="8"/>
      <c r="P232" s="4"/>
      <c r="Q232" s="4"/>
      <c r="R232" s="4"/>
      <c r="S232" s="4"/>
      <c r="T232" s="4"/>
      <c r="U232" s="40">
        <f t="shared" si="10"/>
        <v>784800</v>
      </c>
      <c r="V232" s="45"/>
      <c r="W232" s="55">
        <v>583200</v>
      </c>
      <c r="X232" s="55">
        <v>198000</v>
      </c>
      <c r="Y232" s="53"/>
      <c r="Z232" s="65"/>
      <c r="AA232" s="65"/>
      <c r="AB232" s="65"/>
      <c r="AC232" s="65"/>
      <c r="AD232" s="65"/>
      <c r="AE232" s="65"/>
    </row>
    <row r="233" spans="1:31" x14ac:dyDescent="0.2">
      <c r="A233" s="4" t="s">
        <v>100</v>
      </c>
      <c r="B233" s="4"/>
      <c r="C233" s="4"/>
      <c r="D233" s="4"/>
      <c r="E233" s="4"/>
      <c r="F233" s="4"/>
      <c r="G233" s="4"/>
      <c r="H233" s="4">
        <v>1108800</v>
      </c>
      <c r="I233" s="4">
        <f>48000*2</f>
        <v>96000</v>
      </c>
      <c r="J233" s="4">
        <v>20000</v>
      </c>
      <c r="K233" s="4"/>
      <c r="L233" s="4"/>
      <c r="M233" s="4"/>
      <c r="N233" s="4"/>
      <c r="O233" s="8"/>
      <c r="P233" s="4"/>
      <c r="Q233" s="4"/>
      <c r="R233" s="4"/>
      <c r="S233" s="4"/>
      <c r="T233" s="4"/>
      <c r="U233" s="40">
        <f t="shared" si="10"/>
        <v>1224800</v>
      </c>
      <c r="V233" s="45"/>
      <c r="W233" s="55">
        <v>891200</v>
      </c>
      <c r="X233" s="55">
        <v>277200</v>
      </c>
      <c r="Y233" s="53"/>
      <c r="Z233" s="65"/>
      <c r="AA233" s="65"/>
      <c r="AB233" s="65"/>
      <c r="AC233" s="65"/>
      <c r="AD233" s="65"/>
      <c r="AE233" s="65"/>
    </row>
    <row r="234" spans="1:31" x14ac:dyDescent="0.2">
      <c r="A234" s="4" t="s">
        <v>101</v>
      </c>
      <c r="B234" s="4"/>
      <c r="C234" s="4"/>
      <c r="D234" s="4"/>
      <c r="E234" s="4"/>
      <c r="F234" s="4"/>
      <c r="G234" s="4"/>
      <c r="H234" s="4">
        <v>649600</v>
      </c>
      <c r="I234" s="4">
        <f>48000*6</f>
        <v>288000</v>
      </c>
      <c r="J234" s="4">
        <v>20000</v>
      </c>
      <c r="K234" s="4"/>
      <c r="L234" s="4"/>
      <c r="M234" s="4"/>
      <c r="N234" s="4"/>
      <c r="O234" s="8"/>
      <c r="P234" s="4"/>
      <c r="Q234" s="4"/>
      <c r="R234" s="4"/>
      <c r="S234" s="4"/>
      <c r="T234" s="4"/>
      <c r="U234" s="40">
        <f t="shared" si="10"/>
        <v>957600</v>
      </c>
      <c r="V234" s="45"/>
      <c r="W234" s="55">
        <v>530400</v>
      </c>
      <c r="X234" s="55">
        <v>158400</v>
      </c>
      <c r="Y234" s="53"/>
      <c r="Z234" s="65"/>
      <c r="AA234" s="65"/>
      <c r="AB234" s="65"/>
      <c r="AC234" s="65"/>
      <c r="AD234" s="65"/>
      <c r="AE234" s="65"/>
    </row>
    <row r="235" spans="1:31" x14ac:dyDescent="0.2">
      <c r="J235" s="5"/>
      <c r="N235" s="12"/>
      <c r="O235" s="10"/>
      <c r="U235" s="10"/>
      <c r="V235" s="56">
        <f>SUM(V227:V234)</f>
        <v>0</v>
      </c>
      <c r="W235" s="53"/>
      <c r="X235" s="53"/>
      <c r="Y235" s="53"/>
      <c r="Z235" s="65"/>
      <c r="AA235" s="65"/>
      <c r="AB235" s="65"/>
      <c r="AC235" s="65"/>
      <c r="AD235" s="65"/>
      <c r="AE235" s="65"/>
    </row>
    <row r="236" spans="1:31" ht="18.75" x14ac:dyDescent="0.3">
      <c r="A236" s="33" t="s">
        <v>151</v>
      </c>
      <c r="B236" s="33"/>
      <c r="C236" s="33"/>
      <c r="D236" s="33"/>
      <c r="E236" s="33"/>
      <c r="F236" s="33"/>
      <c r="G236" s="33"/>
      <c r="H236" s="44"/>
      <c r="I236" s="33"/>
      <c r="J236" s="33"/>
      <c r="K236" s="33"/>
      <c r="L236" s="33"/>
      <c r="M236" s="33"/>
      <c r="N236" s="44"/>
      <c r="O236" s="33"/>
      <c r="P236" s="33"/>
      <c r="Q236" s="33"/>
      <c r="R236" s="33"/>
      <c r="S236" s="33"/>
      <c r="T236" s="33"/>
      <c r="U236" s="43"/>
      <c r="V236" s="53"/>
      <c r="W236" s="53"/>
      <c r="X236" s="53"/>
      <c r="Y236" s="53"/>
      <c r="Z236" s="65"/>
      <c r="AA236" s="65"/>
      <c r="AB236" s="65"/>
      <c r="AC236" s="65"/>
      <c r="AD236" s="65"/>
      <c r="AE236" s="65"/>
    </row>
    <row r="237" spans="1:31" ht="13.5" x14ac:dyDescent="0.25">
      <c r="A237" s="59" t="s">
        <v>152</v>
      </c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3"/>
      <c r="W237" s="53"/>
      <c r="X237" s="53"/>
      <c r="Y237" s="53"/>
      <c r="Z237" s="65"/>
      <c r="AA237" s="65"/>
      <c r="AB237" s="65"/>
      <c r="AC237" s="65"/>
      <c r="AD237" s="65"/>
      <c r="AE237" s="65"/>
    </row>
    <row r="238" spans="1:31" ht="13.5" x14ac:dyDescent="0.25">
      <c r="A238" s="59" t="s">
        <v>155</v>
      </c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3"/>
      <c r="W238" s="53"/>
      <c r="X238" s="53"/>
      <c r="Y238" s="53"/>
      <c r="Z238" s="65"/>
      <c r="AA238" s="65"/>
      <c r="AB238" s="65"/>
      <c r="AC238" s="65"/>
      <c r="AD238" s="65"/>
      <c r="AE238" s="65"/>
    </row>
    <row r="239" spans="1:31" ht="13.5" x14ac:dyDescent="0.25">
      <c r="A239" s="59" t="s">
        <v>153</v>
      </c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</row>
    <row r="240" spans="1:31" ht="13.5" x14ac:dyDescent="0.25">
      <c r="A240" s="59" t="s">
        <v>156</v>
      </c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</row>
    <row r="241" spans="1:31" ht="13.5" x14ac:dyDescent="0.25">
      <c r="A241" s="59" t="s">
        <v>154</v>
      </c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</row>
    <row r="242" spans="1:31" ht="13.5" x14ac:dyDescent="0.25">
      <c r="A242" s="59" t="s">
        <v>157</v>
      </c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</row>
    <row r="243" spans="1:31" ht="13.5" x14ac:dyDescent="0.25">
      <c r="A243" s="59" t="s">
        <v>164</v>
      </c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</row>
    <row r="244" spans="1:31" ht="13.5" x14ac:dyDescent="0.25">
      <c r="A244" s="59" t="s">
        <v>165</v>
      </c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</row>
    <row r="245" spans="1:31" ht="13.5" x14ac:dyDescent="0.25">
      <c r="A245" s="59" t="s">
        <v>159</v>
      </c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</row>
    <row r="246" spans="1:31" ht="13.5" x14ac:dyDescent="0.25">
      <c r="A246" s="59" t="s">
        <v>166</v>
      </c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</row>
    <row r="247" spans="1:31" ht="13.5" x14ac:dyDescent="0.25">
      <c r="A247" s="59" t="s">
        <v>167</v>
      </c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</row>
    <row r="248" spans="1:31" x14ac:dyDescent="0.2"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</row>
    <row r="249" spans="1:31" ht="17.25" x14ac:dyDescent="0.3">
      <c r="A249" s="94" t="s">
        <v>184</v>
      </c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</row>
    <row r="250" spans="1:31" x14ac:dyDescent="0.2"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</row>
    <row r="251" spans="1:31" x14ac:dyDescent="0.2"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</row>
    <row r="252" spans="1:31" x14ac:dyDescent="0.2"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</row>
    <row r="253" spans="1:31" x14ac:dyDescent="0.2"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</row>
    <row r="254" spans="1:31" x14ac:dyDescent="0.2"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</row>
    <row r="255" spans="1:31" x14ac:dyDescent="0.2"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</row>
    <row r="256" spans="1:31" x14ac:dyDescent="0.2"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</row>
    <row r="257" spans="1:31" x14ac:dyDescent="0.2"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</row>
    <row r="258" spans="1:31" x14ac:dyDescent="0.2"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</row>
    <row r="259" spans="1:31" x14ac:dyDescent="0.2"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</row>
    <row r="260" spans="1:31" x14ac:dyDescent="0.2">
      <c r="A260" s="6" t="s">
        <v>7</v>
      </c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</row>
    <row r="261" spans="1:31" x14ac:dyDescent="0.2">
      <c r="A261" s="14" t="s">
        <v>0</v>
      </c>
      <c r="B261" s="14" t="s">
        <v>46</v>
      </c>
      <c r="C261" s="14" t="s">
        <v>26</v>
      </c>
      <c r="D261" s="14" t="s">
        <v>46</v>
      </c>
      <c r="E261" s="14" t="s">
        <v>28</v>
      </c>
      <c r="F261" s="14" t="s">
        <v>43</v>
      </c>
      <c r="G261" s="14" t="s">
        <v>43</v>
      </c>
      <c r="H261" s="14" t="s">
        <v>14</v>
      </c>
      <c r="I261" s="14" t="s">
        <v>138</v>
      </c>
      <c r="J261" s="14" t="s">
        <v>30</v>
      </c>
      <c r="K261" s="14" t="s">
        <v>135</v>
      </c>
      <c r="L261" s="14" t="s">
        <v>13</v>
      </c>
      <c r="M261" s="14" t="s">
        <v>13</v>
      </c>
      <c r="N261" s="14" t="s">
        <v>31</v>
      </c>
      <c r="O261" s="14" t="s">
        <v>33</v>
      </c>
      <c r="P261" s="14" t="s">
        <v>33</v>
      </c>
      <c r="Q261" s="14" t="s">
        <v>145</v>
      </c>
      <c r="R261" s="14" t="s">
        <v>35</v>
      </c>
      <c r="S261" s="34" t="s">
        <v>37</v>
      </c>
      <c r="T261" s="14" t="s">
        <v>39</v>
      </c>
      <c r="U261" s="14" t="s">
        <v>41</v>
      </c>
      <c r="V261" s="53"/>
      <c r="W261" s="52"/>
      <c r="X261" s="52"/>
      <c r="Y261" s="53"/>
      <c r="Z261" s="53"/>
      <c r="AA261" s="65"/>
      <c r="AB261" s="65"/>
      <c r="AC261" s="65"/>
      <c r="AD261" s="65"/>
      <c r="AE261" s="65"/>
    </row>
    <row r="262" spans="1:31" ht="13.5" thickBot="1" x14ac:dyDescent="0.25">
      <c r="A262" s="18"/>
      <c r="B262" s="18" t="s">
        <v>48</v>
      </c>
      <c r="C262" s="18" t="s">
        <v>27</v>
      </c>
      <c r="D262" s="18" t="s">
        <v>47</v>
      </c>
      <c r="E262" s="18" t="s">
        <v>29</v>
      </c>
      <c r="F262" s="18" t="s">
        <v>44</v>
      </c>
      <c r="G262" s="18" t="s">
        <v>45</v>
      </c>
      <c r="H262" s="21" t="s">
        <v>137</v>
      </c>
      <c r="I262" s="18" t="s">
        <v>139</v>
      </c>
      <c r="J262" s="18" t="s">
        <v>146</v>
      </c>
      <c r="K262" s="18" t="s">
        <v>136</v>
      </c>
      <c r="L262" s="18" t="s">
        <v>134</v>
      </c>
      <c r="M262" s="18" t="s">
        <v>160</v>
      </c>
      <c r="N262" s="18" t="s">
        <v>32</v>
      </c>
      <c r="O262" s="18" t="s">
        <v>34</v>
      </c>
      <c r="P262" s="18" t="s">
        <v>133</v>
      </c>
      <c r="Q262" s="42" t="s">
        <v>144</v>
      </c>
      <c r="R262" s="18" t="s">
        <v>36</v>
      </c>
      <c r="S262" s="35" t="s">
        <v>38</v>
      </c>
      <c r="T262" s="18" t="s">
        <v>40</v>
      </c>
      <c r="U262" s="18" t="s">
        <v>42</v>
      </c>
      <c r="V262" s="53"/>
      <c r="W262" s="52"/>
      <c r="X262" s="52"/>
      <c r="Y262" s="53"/>
      <c r="Z262" s="53"/>
      <c r="AA262" s="65"/>
      <c r="AB262" s="65"/>
      <c r="AC262" s="65"/>
      <c r="AD262" s="65"/>
      <c r="AE262" s="65"/>
    </row>
    <row r="263" spans="1:31" ht="13.5" thickBot="1" x14ac:dyDescent="0.25">
      <c r="A263" s="24" t="s">
        <v>22</v>
      </c>
      <c r="B263" s="25"/>
      <c r="C263" s="25"/>
      <c r="D263" s="25"/>
      <c r="E263" s="25"/>
      <c r="F263" s="25"/>
      <c r="G263" s="25"/>
      <c r="H263" s="27">
        <f>H265+H266+H267+H268+H269+H270+H271+H272+H273</f>
        <v>7806400</v>
      </c>
      <c r="I263" s="26">
        <f>I265+I266+I267+I268+I269+I270+I271+I272+I273</f>
        <v>1488000</v>
      </c>
      <c r="J263" s="27">
        <f>J264+J265+J266+J267+J268+J269+J270+J271+J272+J273</f>
        <v>240000</v>
      </c>
      <c r="K263" s="25"/>
      <c r="L263" s="25"/>
      <c r="M263" s="25"/>
      <c r="N263" s="27"/>
      <c r="O263" s="27"/>
      <c r="P263" s="25"/>
      <c r="Q263" s="29"/>
      <c r="R263" s="29"/>
      <c r="S263" s="29"/>
      <c r="T263" s="29"/>
      <c r="U263" s="31">
        <f>H263+I263+J263+N263+O263</f>
        <v>9534400</v>
      </c>
      <c r="V263" s="53"/>
      <c r="W263" s="54"/>
      <c r="X263" s="54"/>
      <c r="Y263" s="53"/>
      <c r="Z263" s="53"/>
      <c r="AA263" s="65"/>
      <c r="AB263" s="65"/>
      <c r="AC263" s="65"/>
      <c r="AD263" s="65"/>
      <c r="AE263" s="65"/>
    </row>
    <row r="264" spans="1:31" x14ac:dyDescent="0.2">
      <c r="A264" s="19" t="s">
        <v>149</v>
      </c>
      <c r="B264" s="19"/>
      <c r="C264" s="19"/>
      <c r="D264" s="19"/>
      <c r="E264" s="19"/>
      <c r="F264" s="19"/>
      <c r="G264" s="19"/>
      <c r="H264" s="23"/>
      <c r="I264" s="36"/>
      <c r="J264" s="19">
        <v>60000</v>
      </c>
      <c r="K264" s="19"/>
      <c r="L264" s="19"/>
      <c r="M264" s="19"/>
      <c r="N264" s="23"/>
      <c r="O264" s="23"/>
      <c r="P264" s="19"/>
      <c r="Q264" s="23"/>
      <c r="R264" s="23"/>
      <c r="S264" s="23"/>
      <c r="T264" s="23"/>
      <c r="U264" s="39">
        <f t="shared" ref="U264" si="11">H264+I264+J264+N264+O264</f>
        <v>60000</v>
      </c>
      <c r="V264" s="53"/>
      <c r="W264" s="55"/>
      <c r="X264" s="55"/>
      <c r="Y264" s="53"/>
      <c r="Z264" s="53"/>
      <c r="AA264" s="65"/>
      <c r="AB264" s="65"/>
      <c r="AC264" s="65"/>
      <c r="AD264" s="65"/>
      <c r="AE264" s="65"/>
    </row>
    <row r="265" spans="1:31" x14ac:dyDescent="0.2">
      <c r="A265" s="4" t="s">
        <v>102</v>
      </c>
      <c r="B265" s="4"/>
      <c r="C265" s="4"/>
      <c r="D265" s="4"/>
      <c r="E265" s="4"/>
      <c r="F265" s="4"/>
      <c r="G265" s="4"/>
      <c r="H265" s="4">
        <v>772800</v>
      </c>
      <c r="I265" s="4">
        <f>48000*3</f>
        <v>144000</v>
      </c>
      <c r="J265" s="4">
        <v>20000</v>
      </c>
      <c r="K265" s="4"/>
      <c r="L265" s="4"/>
      <c r="M265" s="4"/>
      <c r="N265" s="4"/>
      <c r="O265" s="8"/>
      <c r="P265" s="4"/>
      <c r="Q265" s="4"/>
      <c r="R265" s="4"/>
      <c r="S265" s="4"/>
      <c r="T265" s="4"/>
      <c r="U265" s="40">
        <f>H265+I265+J265</f>
        <v>936800</v>
      </c>
      <c r="V265" s="45"/>
      <c r="W265" s="55"/>
      <c r="X265" s="55"/>
      <c r="Y265" s="53"/>
      <c r="Z265" s="53"/>
      <c r="AA265" s="65"/>
      <c r="AB265" s="65"/>
      <c r="AC265" s="65"/>
      <c r="AD265" s="65"/>
      <c r="AE265" s="65"/>
    </row>
    <row r="266" spans="1:31" x14ac:dyDescent="0.2">
      <c r="A266" s="4" t="s">
        <v>103</v>
      </c>
      <c r="B266" s="4"/>
      <c r="C266" s="4"/>
      <c r="D266" s="4"/>
      <c r="E266" s="4"/>
      <c r="F266" s="4"/>
      <c r="G266" s="4"/>
      <c r="H266" s="4">
        <v>806400</v>
      </c>
      <c r="I266" s="4">
        <f>48000*2</f>
        <v>96000</v>
      </c>
      <c r="J266" s="4">
        <v>20000</v>
      </c>
      <c r="K266" s="4"/>
      <c r="L266" s="4"/>
      <c r="M266" s="4"/>
      <c r="N266" s="4"/>
      <c r="O266" s="8"/>
      <c r="P266" s="4"/>
      <c r="Q266" s="4"/>
      <c r="R266" s="4"/>
      <c r="S266" s="4"/>
      <c r="T266" s="4"/>
      <c r="U266" s="40">
        <f t="shared" ref="U266:U273" si="12">H266+I266+J266</f>
        <v>922400</v>
      </c>
      <c r="V266" s="45"/>
      <c r="W266" s="55"/>
      <c r="X266" s="55"/>
      <c r="Y266" s="53"/>
      <c r="Z266" s="53"/>
      <c r="AA266" s="65"/>
      <c r="AB266" s="65"/>
      <c r="AC266" s="65"/>
      <c r="AD266" s="65"/>
      <c r="AE266" s="65"/>
    </row>
    <row r="267" spans="1:31" x14ac:dyDescent="0.2">
      <c r="A267" s="4" t="s">
        <v>104</v>
      </c>
      <c r="B267" s="4"/>
      <c r="C267" s="4"/>
      <c r="D267" s="4"/>
      <c r="E267" s="4"/>
      <c r="F267" s="4"/>
      <c r="G267" s="4"/>
      <c r="H267" s="4">
        <v>1232000</v>
      </c>
      <c r="I267" s="4">
        <f>48000*10</f>
        <v>480000</v>
      </c>
      <c r="J267" s="4">
        <v>20000</v>
      </c>
      <c r="K267" s="4"/>
      <c r="L267" s="4"/>
      <c r="M267" s="4"/>
      <c r="N267" s="4"/>
      <c r="O267" s="8"/>
      <c r="P267" s="4"/>
      <c r="Q267" s="4"/>
      <c r="R267" s="4"/>
      <c r="S267" s="4"/>
      <c r="T267" s="4"/>
      <c r="U267" s="40">
        <f t="shared" si="12"/>
        <v>1732000</v>
      </c>
      <c r="V267" s="45"/>
      <c r="W267" s="55"/>
      <c r="X267" s="55"/>
      <c r="Y267" s="53"/>
      <c r="Z267" s="53"/>
      <c r="AA267" s="65"/>
      <c r="AB267" s="65"/>
      <c r="AC267" s="65"/>
      <c r="AD267" s="65"/>
      <c r="AE267" s="65"/>
    </row>
    <row r="268" spans="1:31" x14ac:dyDescent="0.2">
      <c r="A268" s="4" t="s">
        <v>105</v>
      </c>
      <c r="B268" s="4"/>
      <c r="C268" s="4"/>
      <c r="D268" s="4"/>
      <c r="E268" s="4"/>
      <c r="F268" s="4"/>
      <c r="G268" s="4"/>
      <c r="H268" s="4">
        <v>873600</v>
      </c>
      <c r="I268" s="4">
        <f>48000*1</f>
        <v>48000</v>
      </c>
      <c r="J268" s="4">
        <v>20000</v>
      </c>
      <c r="K268" s="4"/>
      <c r="L268" s="4"/>
      <c r="M268" s="4"/>
      <c r="N268" s="4"/>
      <c r="O268" s="8"/>
      <c r="P268" s="4"/>
      <c r="Q268" s="4"/>
      <c r="R268" s="4"/>
      <c r="S268" s="4"/>
      <c r="T268" s="4"/>
      <c r="U268" s="40">
        <f t="shared" si="12"/>
        <v>941600</v>
      </c>
      <c r="V268" s="45"/>
      <c r="W268" s="55"/>
      <c r="X268" s="55"/>
      <c r="Y268" s="53"/>
      <c r="Z268" s="53"/>
      <c r="AA268" s="65"/>
      <c r="AB268" s="65"/>
      <c r="AC268" s="65"/>
      <c r="AD268" s="65"/>
      <c r="AE268" s="65"/>
    </row>
    <row r="269" spans="1:31" x14ac:dyDescent="0.2">
      <c r="A269" s="4" t="s">
        <v>106</v>
      </c>
      <c r="B269" s="4"/>
      <c r="C269" s="4"/>
      <c r="D269" s="4"/>
      <c r="E269" s="4"/>
      <c r="F269" s="4"/>
      <c r="G269" s="4"/>
      <c r="H269" s="4">
        <v>918400</v>
      </c>
      <c r="I269" s="4">
        <f>48000*5</f>
        <v>240000</v>
      </c>
      <c r="J269" s="4">
        <v>20000</v>
      </c>
      <c r="K269" s="4"/>
      <c r="L269" s="4"/>
      <c r="M269" s="4"/>
      <c r="N269" s="4"/>
      <c r="O269" s="8"/>
      <c r="P269" s="4"/>
      <c r="Q269" s="4"/>
      <c r="R269" s="4"/>
      <c r="S269" s="4"/>
      <c r="T269" s="4"/>
      <c r="U269" s="40">
        <f t="shared" si="12"/>
        <v>1178400</v>
      </c>
      <c r="V269" s="45"/>
      <c r="W269" s="55"/>
      <c r="X269" s="55"/>
      <c r="Y269" s="53"/>
      <c r="Z269" s="53"/>
      <c r="AA269" s="65"/>
      <c r="AB269" s="65"/>
      <c r="AC269" s="65"/>
      <c r="AD269" s="65"/>
      <c r="AE269" s="65"/>
    </row>
    <row r="270" spans="1:31" x14ac:dyDescent="0.2">
      <c r="A270" s="4" t="s">
        <v>107</v>
      </c>
      <c r="B270" s="4"/>
      <c r="C270" s="4"/>
      <c r="D270" s="4"/>
      <c r="E270" s="4"/>
      <c r="F270" s="4"/>
      <c r="G270" s="4"/>
      <c r="H270" s="4">
        <v>1008000</v>
      </c>
      <c r="I270" s="4">
        <f>48000*4</f>
        <v>192000</v>
      </c>
      <c r="J270" s="4">
        <v>20000</v>
      </c>
      <c r="K270" s="4"/>
      <c r="L270" s="4"/>
      <c r="M270" s="4"/>
      <c r="N270" s="4"/>
      <c r="O270" s="8"/>
      <c r="P270" s="4"/>
      <c r="Q270" s="4"/>
      <c r="R270" s="4"/>
      <c r="S270" s="4"/>
      <c r="T270" s="4"/>
      <c r="U270" s="40">
        <f t="shared" si="12"/>
        <v>1220000</v>
      </c>
      <c r="V270" s="45"/>
      <c r="W270" s="55"/>
      <c r="X270" s="55"/>
      <c r="Y270" s="53"/>
      <c r="Z270" s="53"/>
      <c r="AA270" s="65"/>
      <c r="AB270" s="65"/>
      <c r="AC270" s="65"/>
      <c r="AD270" s="65"/>
      <c r="AE270" s="65"/>
    </row>
    <row r="271" spans="1:31" x14ac:dyDescent="0.2">
      <c r="A271" s="4" t="s">
        <v>108</v>
      </c>
      <c r="B271" s="4"/>
      <c r="C271" s="4"/>
      <c r="D271" s="4"/>
      <c r="E271" s="4"/>
      <c r="F271" s="4"/>
      <c r="G271" s="4"/>
      <c r="H271" s="4">
        <v>806400</v>
      </c>
      <c r="I271" s="4">
        <f>48000*4</f>
        <v>192000</v>
      </c>
      <c r="J271" s="4">
        <v>20000</v>
      </c>
      <c r="K271" s="4"/>
      <c r="L271" s="4"/>
      <c r="M271" s="4"/>
      <c r="N271" s="4"/>
      <c r="O271" s="8"/>
      <c r="P271" s="4"/>
      <c r="Q271" s="4"/>
      <c r="R271" s="4"/>
      <c r="S271" s="4"/>
      <c r="T271" s="4"/>
      <c r="U271" s="40">
        <f t="shared" si="12"/>
        <v>1018400</v>
      </c>
      <c r="V271" s="45"/>
      <c r="W271" s="55"/>
      <c r="X271" s="55"/>
      <c r="Y271" s="53"/>
      <c r="Z271" s="53"/>
      <c r="AA271" s="65"/>
      <c r="AB271" s="65"/>
      <c r="AC271" s="65"/>
      <c r="AD271" s="65"/>
      <c r="AE271" s="65"/>
    </row>
    <row r="272" spans="1:31" x14ac:dyDescent="0.2">
      <c r="A272" s="4" t="s">
        <v>109</v>
      </c>
      <c r="B272" s="4"/>
      <c r="C272" s="4"/>
      <c r="D272" s="4"/>
      <c r="E272" s="4"/>
      <c r="F272" s="4"/>
      <c r="G272" s="4"/>
      <c r="H272" s="4">
        <v>772800</v>
      </c>
      <c r="I272" s="4">
        <f>48000*1</f>
        <v>48000</v>
      </c>
      <c r="J272" s="4">
        <v>20000</v>
      </c>
      <c r="K272" s="4"/>
      <c r="L272" s="4"/>
      <c r="M272" s="4"/>
      <c r="N272" s="4"/>
      <c r="O272" s="8"/>
      <c r="P272" s="4"/>
      <c r="Q272" s="4"/>
      <c r="R272" s="4"/>
      <c r="S272" s="4"/>
      <c r="T272" s="4"/>
      <c r="U272" s="40">
        <f t="shared" si="12"/>
        <v>840800</v>
      </c>
      <c r="V272" s="45"/>
      <c r="W272" s="55"/>
      <c r="X272" s="55"/>
      <c r="Y272" s="53"/>
      <c r="Z272" s="53"/>
      <c r="AA272" s="65"/>
      <c r="AB272" s="65"/>
      <c r="AC272" s="65"/>
      <c r="AD272" s="65"/>
      <c r="AE272" s="65"/>
    </row>
    <row r="273" spans="1:31" x14ac:dyDescent="0.2">
      <c r="A273" s="4" t="s">
        <v>110</v>
      </c>
      <c r="B273" s="4"/>
      <c r="C273" s="4"/>
      <c r="D273" s="4"/>
      <c r="E273" s="4"/>
      <c r="F273" s="4"/>
      <c r="G273" s="4"/>
      <c r="H273" s="4">
        <v>616000</v>
      </c>
      <c r="I273" s="4">
        <f>48000*1</f>
        <v>48000</v>
      </c>
      <c r="J273" s="4">
        <v>20000</v>
      </c>
      <c r="K273" s="4"/>
      <c r="L273" s="4"/>
      <c r="M273" s="4"/>
      <c r="N273" s="4"/>
      <c r="O273" s="8"/>
      <c r="P273" s="4"/>
      <c r="Q273" s="4"/>
      <c r="R273" s="4"/>
      <c r="S273" s="4"/>
      <c r="T273" s="4"/>
      <c r="U273" s="40">
        <f t="shared" si="12"/>
        <v>684000</v>
      </c>
      <c r="V273" s="45"/>
      <c r="W273" s="55"/>
      <c r="X273" s="55"/>
      <c r="Y273" s="53"/>
      <c r="Z273" s="53"/>
      <c r="AA273" s="65"/>
      <c r="AB273" s="65"/>
      <c r="AC273" s="65"/>
      <c r="AD273" s="65"/>
      <c r="AE273" s="65"/>
    </row>
    <row r="274" spans="1:31" x14ac:dyDescent="0.2">
      <c r="J274" s="5"/>
      <c r="N274" s="10"/>
      <c r="O274" s="10"/>
      <c r="U274" s="10"/>
      <c r="V274" s="56"/>
      <c r="W274" s="53"/>
      <c r="X274" s="53"/>
      <c r="Y274" s="53"/>
      <c r="Z274" s="53"/>
      <c r="AA274" s="65"/>
      <c r="AB274" s="65"/>
      <c r="AC274" s="65"/>
      <c r="AD274" s="65"/>
      <c r="AE274" s="65"/>
    </row>
    <row r="275" spans="1:31" ht="18.75" x14ac:dyDescent="0.3">
      <c r="A275" s="33" t="s">
        <v>151</v>
      </c>
      <c r="B275" s="33"/>
      <c r="C275" s="33"/>
      <c r="D275" s="33"/>
      <c r="E275" s="33"/>
      <c r="F275" s="33"/>
      <c r="G275" s="33"/>
      <c r="H275" s="44"/>
      <c r="I275" s="33"/>
      <c r="J275" s="33"/>
      <c r="K275" s="33"/>
      <c r="L275" s="33"/>
      <c r="M275" s="33"/>
      <c r="N275" s="44"/>
      <c r="O275" s="33"/>
      <c r="P275" s="33"/>
      <c r="Q275" s="33"/>
      <c r="R275" s="33"/>
      <c r="S275" s="33"/>
      <c r="T275" s="33"/>
      <c r="U275" s="43"/>
      <c r="V275" s="65"/>
      <c r="W275" s="65"/>
      <c r="X275" s="65"/>
      <c r="Y275" s="65"/>
      <c r="Z275" s="65"/>
      <c r="AA275" s="65"/>
      <c r="AB275" s="65"/>
      <c r="AC275" s="65"/>
      <c r="AD275" s="65"/>
      <c r="AE275" s="65"/>
    </row>
    <row r="276" spans="1:31" ht="13.5" x14ac:dyDescent="0.25">
      <c r="A276" s="59" t="s">
        <v>152</v>
      </c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</row>
    <row r="277" spans="1:31" ht="13.5" x14ac:dyDescent="0.25">
      <c r="A277" s="59" t="s">
        <v>155</v>
      </c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</row>
    <row r="278" spans="1:31" ht="13.5" x14ac:dyDescent="0.25">
      <c r="A278" s="59" t="s">
        <v>153</v>
      </c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</row>
    <row r="279" spans="1:31" ht="13.5" x14ac:dyDescent="0.25">
      <c r="A279" s="59" t="s">
        <v>156</v>
      </c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</row>
    <row r="280" spans="1:31" ht="13.5" x14ac:dyDescent="0.25">
      <c r="A280" s="59" t="s">
        <v>154</v>
      </c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</row>
    <row r="281" spans="1:31" ht="13.5" x14ac:dyDescent="0.25">
      <c r="A281" s="59" t="s">
        <v>157</v>
      </c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</row>
    <row r="282" spans="1:31" ht="13.5" x14ac:dyDescent="0.25">
      <c r="A282" s="59" t="s">
        <v>164</v>
      </c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</row>
    <row r="283" spans="1:31" ht="13.5" x14ac:dyDescent="0.25">
      <c r="A283" s="59" t="s">
        <v>165</v>
      </c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</row>
    <row r="284" spans="1:31" ht="13.5" x14ac:dyDescent="0.25">
      <c r="A284" s="59" t="s">
        <v>159</v>
      </c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</row>
    <row r="285" spans="1:31" ht="13.5" x14ac:dyDescent="0.25">
      <c r="A285" s="59" t="s">
        <v>166</v>
      </c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65"/>
      <c r="W285" s="65"/>
      <c r="X285" s="65"/>
      <c r="Y285" s="65"/>
      <c r="Z285" s="65"/>
      <c r="AA285" s="65"/>
      <c r="AB285" s="65"/>
      <c r="AC285" s="65"/>
      <c r="AD285" s="65"/>
      <c r="AE285" s="65"/>
    </row>
    <row r="286" spans="1:31" ht="13.5" x14ac:dyDescent="0.25">
      <c r="A286" s="59" t="s">
        <v>167</v>
      </c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</row>
    <row r="287" spans="1:31" x14ac:dyDescent="0.2">
      <c r="A287" s="79"/>
      <c r="B287" s="79"/>
      <c r="C287" s="79"/>
      <c r="D287" s="79"/>
      <c r="E287" s="79"/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</row>
    <row r="288" spans="1:31" x14ac:dyDescent="0.2">
      <c r="A288" s="79"/>
      <c r="B288" s="79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</row>
    <row r="289" spans="1:31" ht="17.25" x14ac:dyDescent="0.3">
      <c r="A289" s="94" t="s">
        <v>184</v>
      </c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</row>
    <row r="290" spans="1:31" x14ac:dyDescent="0.2"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</row>
    <row r="291" spans="1:31" x14ac:dyDescent="0.2"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</row>
    <row r="292" spans="1:31" x14ac:dyDescent="0.2"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</row>
    <row r="293" spans="1:31" x14ac:dyDescent="0.2"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</row>
    <row r="294" spans="1:31" x14ac:dyDescent="0.2"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</row>
    <row r="295" spans="1:31" x14ac:dyDescent="0.2"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</row>
    <row r="296" spans="1:31" x14ac:dyDescent="0.2"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</row>
    <row r="297" spans="1:31" x14ac:dyDescent="0.2">
      <c r="A297" s="6" t="s">
        <v>8</v>
      </c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</row>
    <row r="298" spans="1:31" x14ac:dyDescent="0.2">
      <c r="A298" s="14" t="s">
        <v>0</v>
      </c>
      <c r="B298" s="14" t="s">
        <v>46</v>
      </c>
      <c r="C298" s="14" t="s">
        <v>26</v>
      </c>
      <c r="D298" s="14" t="s">
        <v>46</v>
      </c>
      <c r="E298" s="14" t="s">
        <v>28</v>
      </c>
      <c r="F298" s="14" t="s">
        <v>43</v>
      </c>
      <c r="G298" s="14" t="s">
        <v>43</v>
      </c>
      <c r="H298" s="14" t="s">
        <v>14</v>
      </c>
      <c r="I298" s="14" t="s">
        <v>138</v>
      </c>
      <c r="J298" s="14" t="s">
        <v>30</v>
      </c>
      <c r="K298" s="14" t="s">
        <v>135</v>
      </c>
      <c r="L298" s="14" t="s">
        <v>13</v>
      </c>
      <c r="M298" s="14" t="s">
        <v>13</v>
      </c>
      <c r="N298" s="14" t="s">
        <v>31</v>
      </c>
      <c r="O298" s="14" t="s">
        <v>33</v>
      </c>
      <c r="P298" s="14" t="s">
        <v>33</v>
      </c>
      <c r="Q298" s="14" t="s">
        <v>145</v>
      </c>
      <c r="R298" s="14" t="s">
        <v>35</v>
      </c>
      <c r="S298" s="34" t="s">
        <v>37</v>
      </c>
      <c r="T298" s="14" t="s">
        <v>39</v>
      </c>
      <c r="U298" s="14" t="s">
        <v>41</v>
      </c>
      <c r="V298" s="90"/>
      <c r="W298" s="52"/>
      <c r="X298" s="52"/>
      <c r="Y298" s="53"/>
      <c r="Z298" s="53"/>
      <c r="AA298" s="65"/>
      <c r="AB298" s="65"/>
      <c r="AC298" s="65"/>
      <c r="AD298" s="65"/>
      <c r="AE298" s="65"/>
    </row>
    <row r="299" spans="1:31" ht="13.5" thickBot="1" x14ac:dyDescent="0.25">
      <c r="A299" s="18"/>
      <c r="B299" s="18" t="s">
        <v>48</v>
      </c>
      <c r="C299" s="18" t="s">
        <v>27</v>
      </c>
      <c r="D299" s="18" t="s">
        <v>47</v>
      </c>
      <c r="E299" s="18" t="s">
        <v>29</v>
      </c>
      <c r="F299" s="18" t="s">
        <v>44</v>
      </c>
      <c r="G299" s="18" t="s">
        <v>45</v>
      </c>
      <c r="H299" s="21" t="s">
        <v>137</v>
      </c>
      <c r="I299" s="18" t="s">
        <v>139</v>
      </c>
      <c r="J299" s="18" t="s">
        <v>146</v>
      </c>
      <c r="K299" s="18" t="s">
        <v>136</v>
      </c>
      <c r="L299" s="18" t="s">
        <v>134</v>
      </c>
      <c r="M299" s="18" t="s">
        <v>160</v>
      </c>
      <c r="N299" s="18" t="s">
        <v>32</v>
      </c>
      <c r="O299" s="18" t="s">
        <v>34</v>
      </c>
      <c r="P299" s="18" t="s">
        <v>133</v>
      </c>
      <c r="Q299" s="42" t="s">
        <v>144</v>
      </c>
      <c r="R299" s="18" t="s">
        <v>36</v>
      </c>
      <c r="S299" s="35" t="s">
        <v>38</v>
      </c>
      <c r="T299" s="18" t="s">
        <v>40</v>
      </c>
      <c r="U299" s="18" t="s">
        <v>42</v>
      </c>
      <c r="V299" s="90"/>
      <c r="W299" s="52"/>
      <c r="X299" s="52"/>
      <c r="Y299" s="53"/>
      <c r="Z299" s="53"/>
      <c r="AA299" s="65"/>
      <c r="AB299" s="65"/>
      <c r="AC299" s="65"/>
      <c r="AD299" s="65"/>
      <c r="AE299" s="65"/>
    </row>
    <row r="300" spans="1:31" ht="13.5" thickBot="1" x14ac:dyDescent="0.25">
      <c r="A300" s="24" t="s">
        <v>23</v>
      </c>
      <c r="B300" s="25"/>
      <c r="C300" s="25"/>
      <c r="D300" s="25"/>
      <c r="E300" s="25"/>
      <c r="F300" s="25"/>
      <c r="G300" s="25"/>
      <c r="H300" s="27">
        <f>H302+H303+H304+H305+H306+H307+H308+H309</f>
        <v>5712000</v>
      </c>
      <c r="I300" s="27">
        <f>I302+I303+I304+I305+I306+I307+I308+I309</f>
        <v>2304000</v>
      </c>
      <c r="J300" s="27">
        <f>J301+J302+J303+J304+J305+J306+J307+J308+J309</f>
        <v>220000</v>
      </c>
      <c r="K300" s="25"/>
      <c r="L300" s="25"/>
      <c r="M300" s="25"/>
      <c r="N300" s="27"/>
      <c r="O300" s="27"/>
      <c r="P300" s="25"/>
      <c r="Q300" s="29"/>
      <c r="R300" s="29"/>
      <c r="S300" s="29"/>
      <c r="T300" s="29"/>
      <c r="U300" s="31">
        <f>H300+I300+J300+N300+O300</f>
        <v>8236000</v>
      </c>
      <c r="V300" s="90"/>
      <c r="W300" s="54"/>
      <c r="X300" s="54"/>
      <c r="Y300" s="53"/>
      <c r="Z300" s="53"/>
      <c r="AA300" s="65"/>
      <c r="AB300" s="65"/>
      <c r="AC300" s="65"/>
      <c r="AD300" s="65"/>
      <c r="AE300" s="65"/>
    </row>
    <row r="301" spans="1:31" x14ac:dyDescent="0.2">
      <c r="A301" s="19" t="s">
        <v>150</v>
      </c>
      <c r="B301" s="19"/>
      <c r="C301" s="19"/>
      <c r="D301" s="19"/>
      <c r="E301" s="19"/>
      <c r="F301" s="19"/>
      <c r="G301" s="19"/>
      <c r="H301" s="23"/>
      <c r="I301" s="36"/>
      <c r="J301" s="19">
        <v>60000</v>
      </c>
      <c r="K301" s="19"/>
      <c r="L301" s="19"/>
      <c r="M301" s="19"/>
      <c r="N301" s="23"/>
      <c r="O301" s="23"/>
      <c r="P301" s="19"/>
      <c r="Q301" s="23"/>
      <c r="R301" s="23"/>
      <c r="S301" s="23"/>
      <c r="T301" s="23"/>
      <c r="U301" s="39">
        <f t="shared" ref="U301" si="13">H301+I301+J301+N301+O301</f>
        <v>60000</v>
      </c>
      <c r="V301" s="90"/>
      <c r="W301" s="55"/>
      <c r="X301" s="55"/>
      <c r="Y301" s="53"/>
      <c r="Z301" s="53"/>
      <c r="AA301" s="65"/>
      <c r="AB301" s="65"/>
      <c r="AC301" s="65"/>
      <c r="AD301" s="65"/>
      <c r="AE301" s="65"/>
    </row>
    <row r="302" spans="1:31" x14ac:dyDescent="0.2">
      <c r="A302" s="4" t="s">
        <v>111</v>
      </c>
      <c r="B302" s="4"/>
      <c r="C302" s="4"/>
      <c r="D302" s="4"/>
      <c r="E302" s="4"/>
      <c r="F302" s="4"/>
      <c r="G302" s="4"/>
      <c r="H302" s="4">
        <v>1153600</v>
      </c>
      <c r="I302" s="4">
        <f>48000*9</f>
        <v>432000</v>
      </c>
      <c r="J302" s="4">
        <v>20000</v>
      </c>
      <c r="K302" s="4"/>
      <c r="L302" s="4"/>
      <c r="M302" s="4"/>
      <c r="N302" s="4"/>
      <c r="O302" s="8"/>
      <c r="P302" s="4"/>
      <c r="Q302" s="4"/>
      <c r="R302" s="4"/>
      <c r="S302" s="4"/>
      <c r="T302" s="4"/>
      <c r="U302" s="40">
        <f>H302+I302+J302</f>
        <v>1605600</v>
      </c>
      <c r="V302" s="91"/>
      <c r="W302" s="55"/>
      <c r="X302" s="55"/>
      <c r="Y302" s="53"/>
      <c r="Z302" s="53"/>
      <c r="AA302" s="65"/>
      <c r="AB302" s="65"/>
      <c r="AC302" s="65"/>
      <c r="AD302" s="65"/>
      <c r="AE302" s="65"/>
    </row>
    <row r="303" spans="1:31" x14ac:dyDescent="0.2">
      <c r="A303" s="4" t="s">
        <v>112</v>
      </c>
      <c r="B303" s="4"/>
      <c r="C303" s="4"/>
      <c r="D303" s="4"/>
      <c r="E303" s="4"/>
      <c r="F303" s="4"/>
      <c r="G303" s="4"/>
      <c r="H303" s="4">
        <v>672000</v>
      </c>
      <c r="I303" s="4">
        <f>48000*9</f>
        <v>432000</v>
      </c>
      <c r="J303" s="4">
        <v>20000</v>
      </c>
      <c r="K303" s="4"/>
      <c r="L303" s="4"/>
      <c r="M303" s="4"/>
      <c r="N303" s="4"/>
      <c r="O303" s="8"/>
      <c r="P303" s="4"/>
      <c r="Q303" s="4"/>
      <c r="R303" s="4"/>
      <c r="S303" s="4"/>
      <c r="T303" s="4"/>
      <c r="U303" s="40">
        <f t="shared" ref="U303:U309" si="14">H303+I303+J303</f>
        <v>1124000</v>
      </c>
      <c r="V303" s="91"/>
      <c r="W303" s="55"/>
      <c r="X303" s="55"/>
      <c r="Y303" s="53"/>
      <c r="Z303" s="53"/>
      <c r="AA303" s="65"/>
      <c r="AB303" s="65"/>
      <c r="AC303" s="65"/>
      <c r="AD303" s="65"/>
      <c r="AE303" s="65"/>
    </row>
    <row r="304" spans="1:31" x14ac:dyDescent="0.2">
      <c r="A304" s="4" t="s">
        <v>141</v>
      </c>
      <c r="B304" s="4"/>
      <c r="C304" s="4"/>
      <c r="D304" s="4"/>
      <c r="E304" s="4"/>
      <c r="F304" s="4"/>
      <c r="G304" s="4"/>
      <c r="H304" s="4">
        <v>884800</v>
      </c>
      <c r="I304" s="4">
        <f>48000*4</f>
        <v>192000</v>
      </c>
      <c r="J304" s="4">
        <v>20000</v>
      </c>
      <c r="K304" s="4"/>
      <c r="L304" s="4"/>
      <c r="M304" s="4"/>
      <c r="N304" s="4"/>
      <c r="O304" s="8"/>
      <c r="P304" s="4"/>
      <c r="Q304" s="4"/>
      <c r="R304" s="4"/>
      <c r="S304" s="4"/>
      <c r="T304" s="4"/>
      <c r="U304" s="40">
        <f t="shared" si="14"/>
        <v>1096800</v>
      </c>
      <c r="V304" s="91"/>
      <c r="W304" s="55"/>
      <c r="X304" s="55"/>
      <c r="Y304" s="53"/>
      <c r="Z304" s="53"/>
      <c r="AA304" s="65"/>
      <c r="AB304" s="65"/>
      <c r="AC304" s="65"/>
      <c r="AD304" s="65"/>
      <c r="AE304" s="65"/>
    </row>
    <row r="305" spans="1:31" x14ac:dyDescent="0.2">
      <c r="A305" s="4" t="s">
        <v>113</v>
      </c>
      <c r="B305" s="4"/>
      <c r="C305" s="4"/>
      <c r="D305" s="4"/>
      <c r="E305" s="4"/>
      <c r="F305" s="4"/>
      <c r="G305" s="4"/>
      <c r="H305" s="4">
        <v>683200</v>
      </c>
      <c r="I305" s="4">
        <f>48000*4</f>
        <v>192000</v>
      </c>
      <c r="J305" s="4">
        <v>20000</v>
      </c>
      <c r="K305" s="4"/>
      <c r="L305" s="4"/>
      <c r="M305" s="4"/>
      <c r="N305" s="4"/>
      <c r="O305" s="8"/>
      <c r="P305" s="4"/>
      <c r="Q305" s="4"/>
      <c r="R305" s="4"/>
      <c r="S305" s="4"/>
      <c r="T305" s="4"/>
      <c r="U305" s="40">
        <f t="shared" si="14"/>
        <v>895200</v>
      </c>
      <c r="V305" s="91"/>
      <c r="W305" s="55"/>
      <c r="X305" s="55"/>
      <c r="Y305" s="53"/>
      <c r="Z305" s="53"/>
      <c r="AA305" s="65"/>
      <c r="AB305" s="65"/>
      <c r="AC305" s="65"/>
      <c r="AD305" s="65"/>
      <c r="AE305" s="65"/>
    </row>
    <row r="306" spans="1:31" x14ac:dyDescent="0.2">
      <c r="A306" s="4" t="s">
        <v>114</v>
      </c>
      <c r="B306" s="4"/>
      <c r="C306" s="4"/>
      <c r="D306" s="4"/>
      <c r="E306" s="4"/>
      <c r="F306" s="4"/>
      <c r="G306" s="4"/>
      <c r="H306" s="4">
        <v>896000</v>
      </c>
      <c r="I306" s="4">
        <f>48000*6</f>
        <v>288000</v>
      </c>
      <c r="J306" s="4">
        <v>20000</v>
      </c>
      <c r="K306" s="4"/>
      <c r="L306" s="4"/>
      <c r="M306" s="4"/>
      <c r="N306" s="4"/>
      <c r="O306" s="8"/>
      <c r="P306" s="4"/>
      <c r="Q306" s="4"/>
      <c r="R306" s="4"/>
      <c r="S306" s="4"/>
      <c r="T306" s="4"/>
      <c r="U306" s="40">
        <f t="shared" si="14"/>
        <v>1204000</v>
      </c>
      <c r="V306" s="91"/>
      <c r="W306" s="55"/>
      <c r="X306" s="55"/>
      <c r="Y306" s="53"/>
      <c r="Z306" s="53"/>
      <c r="AA306" s="65"/>
      <c r="AB306" s="65"/>
      <c r="AC306" s="65"/>
      <c r="AD306" s="65"/>
      <c r="AE306" s="65"/>
    </row>
    <row r="307" spans="1:31" x14ac:dyDescent="0.2">
      <c r="A307" s="4" t="s">
        <v>115</v>
      </c>
      <c r="B307" s="4"/>
      <c r="C307" s="4"/>
      <c r="D307" s="4"/>
      <c r="E307" s="4"/>
      <c r="F307" s="4"/>
      <c r="G307" s="4"/>
      <c r="H307" s="4">
        <v>257600</v>
      </c>
      <c r="I307" s="4">
        <f>48000*1</f>
        <v>48000</v>
      </c>
      <c r="J307" s="4">
        <v>20000</v>
      </c>
      <c r="K307" s="4"/>
      <c r="L307" s="4"/>
      <c r="M307" s="4"/>
      <c r="N307" s="4"/>
      <c r="O307" s="8"/>
      <c r="P307" s="4"/>
      <c r="Q307" s="4"/>
      <c r="R307" s="4"/>
      <c r="S307" s="4"/>
      <c r="T307" s="4"/>
      <c r="U307" s="40">
        <f t="shared" si="14"/>
        <v>325600</v>
      </c>
      <c r="V307" s="91"/>
      <c r="W307" s="55"/>
      <c r="X307" s="55"/>
      <c r="Y307" s="53"/>
      <c r="Z307" s="53"/>
      <c r="AA307" s="65"/>
      <c r="AB307" s="65"/>
      <c r="AC307" s="65"/>
      <c r="AD307" s="65"/>
      <c r="AE307" s="65"/>
    </row>
    <row r="308" spans="1:31" x14ac:dyDescent="0.2">
      <c r="A308" s="4" t="s">
        <v>116</v>
      </c>
      <c r="B308" s="4"/>
      <c r="C308" s="4"/>
      <c r="D308" s="4"/>
      <c r="E308" s="4"/>
      <c r="F308" s="4"/>
      <c r="G308" s="4"/>
      <c r="H308" s="4">
        <v>280000</v>
      </c>
      <c r="I308" s="4">
        <f>48000*5</f>
        <v>240000</v>
      </c>
      <c r="J308" s="4">
        <v>20000</v>
      </c>
      <c r="K308" s="4"/>
      <c r="L308" s="4"/>
      <c r="M308" s="4"/>
      <c r="N308" s="4"/>
      <c r="O308" s="8"/>
      <c r="P308" s="4"/>
      <c r="Q308" s="4"/>
      <c r="R308" s="4"/>
      <c r="S308" s="4"/>
      <c r="T308" s="4"/>
      <c r="U308" s="40">
        <f t="shared" si="14"/>
        <v>540000</v>
      </c>
      <c r="V308" s="91"/>
      <c r="W308" s="55"/>
      <c r="X308" s="55"/>
      <c r="Y308" s="53"/>
      <c r="Z308" s="53"/>
      <c r="AA308" s="65"/>
      <c r="AB308" s="65"/>
      <c r="AC308" s="65"/>
      <c r="AD308" s="65"/>
      <c r="AE308" s="65"/>
    </row>
    <row r="309" spans="1:31" x14ac:dyDescent="0.2">
      <c r="A309" s="4" t="s">
        <v>117</v>
      </c>
      <c r="B309" s="4"/>
      <c r="C309" s="4"/>
      <c r="D309" s="4"/>
      <c r="E309" s="4"/>
      <c r="F309" s="4"/>
      <c r="G309" s="4"/>
      <c r="H309" s="4">
        <v>884800</v>
      </c>
      <c r="I309" s="4">
        <f>48000*10</f>
        <v>480000</v>
      </c>
      <c r="J309" s="4">
        <v>20000</v>
      </c>
      <c r="K309" s="4"/>
      <c r="L309" s="4"/>
      <c r="M309" s="4"/>
      <c r="N309" s="4"/>
      <c r="O309" s="8"/>
      <c r="P309" s="4"/>
      <c r="Q309" s="4"/>
      <c r="R309" s="4"/>
      <c r="S309" s="4"/>
      <c r="T309" s="4"/>
      <c r="U309" s="40">
        <f t="shared" si="14"/>
        <v>1384800</v>
      </c>
      <c r="V309" s="91"/>
      <c r="W309" s="55"/>
      <c r="X309" s="55"/>
      <c r="Y309" s="53"/>
      <c r="Z309" s="53"/>
      <c r="AA309" s="65"/>
      <c r="AB309" s="65"/>
      <c r="AC309" s="65"/>
      <c r="AD309" s="65"/>
      <c r="AE309" s="65"/>
    </row>
    <row r="310" spans="1:31" x14ac:dyDescent="0.2">
      <c r="J310" s="5"/>
      <c r="N310" s="10"/>
      <c r="O310" s="10"/>
      <c r="U310" s="10"/>
      <c r="V310" s="66">
        <f>SUM(V302:V309)</f>
        <v>0</v>
      </c>
      <c r="W310" s="65"/>
      <c r="X310" s="65"/>
      <c r="Y310" s="65"/>
      <c r="Z310" s="65"/>
      <c r="AA310" s="65"/>
      <c r="AB310" s="65"/>
      <c r="AC310" s="65"/>
      <c r="AD310" s="65"/>
      <c r="AE310" s="65"/>
    </row>
    <row r="311" spans="1:31" ht="18.75" x14ac:dyDescent="0.3">
      <c r="A311" s="33" t="s">
        <v>151</v>
      </c>
      <c r="B311" s="33"/>
      <c r="C311" s="33"/>
      <c r="D311" s="33"/>
      <c r="E311" s="33"/>
      <c r="F311" s="33"/>
      <c r="G311" s="33"/>
      <c r="H311" s="44"/>
      <c r="I311" s="33"/>
      <c r="J311" s="33"/>
      <c r="K311" s="33"/>
      <c r="L311" s="33"/>
      <c r="M311" s="33"/>
      <c r="N311" s="44"/>
      <c r="O311" s="33"/>
      <c r="P311" s="33"/>
      <c r="Q311" s="33"/>
      <c r="R311" s="33"/>
      <c r="S311" s="33"/>
      <c r="T311" s="33"/>
      <c r="U311" s="43"/>
      <c r="V311" s="65"/>
      <c r="W311" s="65"/>
      <c r="X311" s="65"/>
      <c r="Y311" s="65"/>
      <c r="Z311" s="65"/>
      <c r="AA311" s="65"/>
      <c r="AB311" s="65"/>
      <c r="AC311" s="65"/>
      <c r="AD311" s="65"/>
      <c r="AE311" s="65"/>
    </row>
    <row r="312" spans="1:31" ht="13.5" x14ac:dyDescent="0.25">
      <c r="A312" s="59" t="s">
        <v>152</v>
      </c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65"/>
      <c r="W312" s="65"/>
      <c r="X312" s="65"/>
      <c r="Y312" s="65"/>
      <c r="Z312" s="65"/>
      <c r="AA312" s="65"/>
      <c r="AB312" s="65"/>
      <c r="AC312" s="65"/>
      <c r="AD312" s="65"/>
      <c r="AE312" s="65"/>
    </row>
    <row r="313" spans="1:31" ht="13.5" x14ac:dyDescent="0.25">
      <c r="A313" s="59" t="s">
        <v>155</v>
      </c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65"/>
      <c r="W313" s="65"/>
      <c r="X313" s="65"/>
      <c r="Y313" s="65"/>
      <c r="Z313" s="65"/>
      <c r="AA313" s="65"/>
      <c r="AB313" s="65"/>
      <c r="AC313" s="65"/>
      <c r="AD313" s="65"/>
      <c r="AE313" s="65"/>
    </row>
    <row r="314" spans="1:31" ht="13.5" x14ac:dyDescent="0.25">
      <c r="A314" s="59" t="s">
        <v>153</v>
      </c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65"/>
      <c r="W314" s="65"/>
      <c r="X314" s="65"/>
      <c r="Y314" s="65"/>
      <c r="Z314" s="65"/>
      <c r="AA314" s="65"/>
      <c r="AB314" s="65"/>
      <c r="AC314" s="65"/>
      <c r="AD314" s="65"/>
      <c r="AE314" s="65"/>
    </row>
    <row r="315" spans="1:31" ht="13.5" x14ac:dyDescent="0.25">
      <c r="A315" s="59" t="s">
        <v>156</v>
      </c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65"/>
      <c r="W315" s="65"/>
      <c r="X315" s="65"/>
      <c r="Y315" s="65"/>
      <c r="Z315" s="65"/>
      <c r="AA315" s="65"/>
      <c r="AB315" s="65"/>
      <c r="AC315" s="65"/>
      <c r="AD315" s="65"/>
      <c r="AE315" s="65"/>
    </row>
    <row r="316" spans="1:31" ht="13.5" x14ac:dyDescent="0.25">
      <c r="A316" s="59" t="s">
        <v>154</v>
      </c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</row>
    <row r="317" spans="1:31" ht="13.5" x14ac:dyDescent="0.25">
      <c r="A317" s="59" t="s">
        <v>157</v>
      </c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</row>
    <row r="318" spans="1:31" ht="13.5" x14ac:dyDescent="0.25">
      <c r="A318" s="59" t="s">
        <v>164</v>
      </c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65"/>
      <c r="W318" s="65"/>
      <c r="X318" s="65"/>
      <c r="Y318" s="65"/>
      <c r="Z318" s="65"/>
      <c r="AA318" s="65"/>
      <c r="AB318" s="65"/>
      <c r="AC318" s="65"/>
      <c r="AD318" s="65"/>
      <c r="AE318" s="65"/>
    </row>
    <row r="319" spans="1:31" ht="13.5" x14ac:dyDescent="0.25">
      <c r="A319" s="59" t="s">
        <v>165</v>
      </c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65"/>
      <c r="W319" s="65"/>
      <c r="X319" s="65"/>
      <c r="Y319" s="65"/>
      <c r="Z319" s="65"/>
      <c r="AA319" s="65"/>
      <c r="AB319" s="65"/>
      <c r="AC319" s="65"/>
      <c r="AD319" s="65"/>
      <c r="AE319" s="65"/>
    </row>
    <row r="320" spans="1:31" ht="13.5" x14ac:dyDescent="0.25">
      <c r="A320" s="59" t="s">
        <v>159</v>
      </c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65"/>
      <c r="W320" s="65"/>
      <c r="X320" s="65"/>
      <c r="Y320" s="65"/>
      <c r="Z320" s="65"/>
      <c r="AA320" s="65"/>
      <c r="AB320" s="65"/>
      <c r="AC320" s="65"/>
      <c r="AD320" s="65"/>
      <c r="AE320" s="65"/>
    </row>
    <row r="321" spans="1:31" ht="13.5" x14ac:dyDescent="0.25">
      <c r="A321" s="59" t="s">
        <v>166</v>
      </c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65"/>
      <c r="W321" s="65"/>
      <c r="X321" s="65"/>
      <c r="Y321" s="65"/>
      <c r="Z321" s="65"/>
      <c r="AA321" s="65"/>
      <c r="AB321" s="65"/>
      <c r="AC321" s="65"/>
      <c r="AD321" s="65"/>
      <c r="AE321" s="65"/>
    </row>
    <row r="322" spans="1:31" ht="13.5" x14ac:dyDescent="0.25">
      <c r="A322" s="59" t="s">
        <v>167</v>
      </c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65"/>
      <c r="W322" s="65"/>
      <c r="X322" s="65"/>
      <c r="Y322" s="65"/>
      <c r="Z322" s="65"/>
      <c r="AA322" s="65"/>
      <c r="AB322" s="65"/>
      <c r="AC322" s="65"/>
      <c r="AD322" s="65"/>
      <c r="AE322" s="65"/>
    </row>
    <row r="323" spans="1:31" x14ac:dyDescent="0.2">
      <c r="V323" s="65"/>
      <c r="W323" s="65"/>
      <c r="X323" s="65"/>
      <c r="Y323" s="65"/>
      <c r="Z323" s="65"/>
      <c r="AA323" s="65"/>
      <c r="AB323" s="65"/>
      <c r="AC323" s="65"/>
      <c r="AD323" s="65"/>
      <c r="AE323" s="65"/>
    </row>
    <row r="324" spans="1:31" ht="17.25" x14ac:dyDescent="0.3">
      <c r="A324" s="94" t="s">
        <v>184</v>
      </c>
      <c r="V324" s="65"/>
      <c r="W324" s="65"/>
      <c r="X324" s="65"/>
      <c r="Y324" s="65"/>
      <c r="Z324" s="65"/>
      <c r="AA324" s="65"/>
      <c r="AB324" s="65"/>
      <c r="AC324" s="65"/>
      <c r="AD324" s="65"/>
      <c r="AE324" s="65"/>
    </row>
    <row r="325" spans="1:31" x14ac:dyDescent="0.2">
      <c r="V325" s="65"/>
      <c r="W325" s="65"/>
      <c r="X325" s="65"/>
      <c r="Y325" s="65"/>
      <c r="Z325" s="65"/>
      <c r="AA325" s="65"/>
      <c r="AB325" s="65"/>
      <c r="AC325" s="65"/>
      <c r="AD325" s="65"/>
      <c r="AE325" s="65"/>
    </row>
    <row r="326" spans="1:31" x14ac:dyDescent="0.2">
      <c r="V326" s="65"/>
      <c r="W326" s="65"/>
      <c r="X326" s="65"/>
      <c r="Y326" s="65"/>
      <c r="Z326" s="65"/>
      <c r="AA326" s="65"/>
      <c r="AB326" s="65"/>
      <c r="AC326" s="65"/>
      <c r="AD326" s="65"/>
      <c r="AE326" s="65"/>
    </row>
    <row r="327" spans="1:31" x14ac:dyDescent="0.2"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</row>
    <row r="328" spans="1:31" x14ac:dyDescent="0.2"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</row>
    <row r="329" spans="1:31" x14ac:dyDescent="0.2"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</row>
    <row r="330" spans="1:31" x14ac:dyDescent="0.2">
      <c r="V330" s="65"/>
      <c r="W330" s="65"/>
      <c r="X330" s="65"/>
      <c r="Y330" s="65"/>
      <c r="Z330" s="65"/>
      <c r="AA330" s="65"/>
      <c r="AB330" s="65"/>
      <c r="AC330" s="65"/>
      <c r="AD330" s="65"/>
      <c r="AE330" s="65"/>
    </row>
    <row r="331" spans="1:31" x14ac:dyDescent="0.2"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</row>
    <row r="332" spans="1:31" x14ac:dyDescent="0.2"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</row>
    <row r="333" spans="1:31" x14ac:dyDescent="0.2">
      <c r="V333" s="65"/>
      <c r="W333" s="65"/>
      <c r="X333" s="65"/>
      <c r="Y333" s="65"/>
      <c r="Z333" s="65"/>
      <c r="AA333" s="65"/>
      <c r="AB333" s="65"/>
      <c r="AC333" s="65"/>
      <c r="AD333" s="65"/>
      <c r="AE333" s="65"/>
    </row>
    <row r="334" spans="1:31" x14ac:dyDescent="0.2">
      <c r="V334" s="65"/>
      <c r="W334" s="65"/>
      <c r="X334" s="65"/>
      <c r="Y334" s="65"/>
      <c r="Z334" s="65"/>
      <c r="AA334" s="65"/>
      <c r="AB334" s="65"/>
      <c r="AC334" s="65"/>
      <c r="AD334" s="65"/>
      <c r="AE334" s="65"/>
    </row>
    <row r="335" spans="1:31" x14ac:dyDescent="0.2">
      <c r="A335" s="6" t="s">
        <v>9</v>
      </c>
      <c r="V335" s="65"/>
      <c r="W335" s="65"/>
      <c r="X335" s="65"/>
      <c r="Y335" s="65"/>
      <c r="Z335" s="65"/>
      <c r="AA335" s="65"/>
      <c r="AB335" s="65"/>
      <c r="AC335" s="65"/>
      <c r="AD335" s="65"/>
      <c r="AE335" s="65"/>
    </row>
    <row r="336" spans="1:31" x14ac:dyDescent="0.2">
      <c r="A336" s="14" t="s">
        <v>0</v>
      </c>
      <c r="B336" s="14" t="s">
        <v>46</v>
      </c>
      <c r="C336" s="14" t="s">
        <v>26</v>
      </c>
      <c r="D336" s="14" t="s">
        <v>46</v>
      </c>
      <c r="E336" s="14" t="s">
        <v>28</v>
      </c>
      <c r="F336" s="14" t="s">
        <v>43</v>
      </c>
      <c r="G336" s="14" t="s">
        <v>43</v>
      </c>
      <c r="H336" s="14" t="s">
        <v>14</v>
      </c>
      <c r="I336" s="14" t="s">
        <v>138</v>
      </c>
      <c r="J336" s="14" t="s">
        <v>30</v>
      </c>
      <c r="K336" s="14" t="s">
        <v>135</v>
      </c>
      <c r="L336" s="14" t="s">
        <v>13</v>
      </c>
      <c r="M336" s="14" t="s">
        <v>13</v>
      </c>
      <c r="N336" s="14" t="s">
        <v>31</v>
      </c>
      <c r="O336" s="14" t="s">
        <v>33</v>
      </c>
      <c r="P336" s="14" t="s">
        <v>33</v>
      </c>
      <c r="Q336" s="14" t="s">
        <v>145</v>
      </c>
      <c r="R336" s="14" t="s">
        <v>35</v>
      </c>
      <c r="S336" s="34" t="s">
        <v>37</v>
      </c>
      <c r="T336" s="14" t="s">
        <v>39</v>
      </c>
      <c r="U336" s="14" t="s">
        <v>41</v>
      </c>
      <c r="V336" s="53"/>
      <c r="W336" s="52"/>
      <c r="X336" s="52"/>
      <c r="Y336" s="53"/>
      <c r="Z336" s="53"/>
      <c r="AA336" s="65"/>
      <c r="AB336" s="65"/>
      <c r="AC336" s="65"/>
      <c r="AD336" s="65"/>
      <c r="AE336" s="65"/>
    </row>
    <row r="337" spans="1:31" ht="13.5" thickBot="1" x14ac:dyDescent="0.25">
      <c r="A337" s="18"/>
      <c r="B337" s="18" t="s">
        <v>48</v>
      </c>
      <c r="C337" s="18" t="s">
        <v>27</v>
      </c>
      <c r="D337" s="18" t="s">
        <v>47</v>
      </c>
      <c r="E337" s="18" t="s">
        <v>29</v>
      </c>
      <c r="F337" s="18" t="s">
        <v>44</v>
      </c>
      <c r="G337" s="18" t="s">
        <v>45</v>
      </c>
      <c r="H337" s="21" t="s">
        <v>137</v>
      </c>
      <c r="I337" s="18" t="s">
        <v>139</v>
      </c>
      <c r="J337" s="18" t="s">
        <v>146</v>
      </c>
      <c r="K337" s="18" t="s">
        <v>136</v>
      </c>
      <c r="L337" s="18" t="s">
        <v>134</v>
      </c>
      <c r="M337" s="18" t="s">
        <v>160</v>
      </c>
      <c r="N337" s="18" t="s">
        <v>32</v>
      </c>
      <c r="O337" s="18" t="s">
        <v>34</v>
      </c>
      <c r="P337" s="18" t="s">
        <v>133</v>
      </c>
      <c r="Q337" s="42" t="s">
        <v>144</v>
      </c>
      <c r="R337" s="18" t="s">
        <v>36</v>
      </c>
      <c r="S337" s="35" t="s">
        <v>38</v>
      </c>
      <c r="T337" s="18" t="s">
        <v>40</v>
      </c>
      <c r="U337" s="18" t="s">
        <v>42</v>
      </c>
      <c r="V337" s="53"/>
      <c r="W337" s="52"/>
      <c r="X337" s="52"/>
      <c r="Y337" s="53"/>
      <c r="Z337" s="53"/>
      <c r="AA337" s="65"/>
      <c r="AB337" s="65"/>
      <c r="AC337" s="65"/>
      <c r="AD337" s="65"/>
      <c r="AE337" s="65"/>
    </row>
    <row r="338" spans="1:31" ht="13.5" thickBot="1" x14ac:dyDescent="0.25">
      <c r="A338" s="24" t="s">
        <v>24</v>
      </c>
      <c r="B338" s="25"/>
      <c r="C338" s="25"/>
      <c r="D338" s="25"/>
      <c r="E338" s="25"/>
      <c r="F338" s="25"/>
      <c r="G338" s="25"/>
      <c r="H338" s="27">
        <f>H340+H341+H342+H343+H344+H345+H346</f>
        <v>6563200</v>
      </c>
      <c r="I338" s="27">
        <f>I340+I341+I342+I343+I344+I345+I346</f>
        <v>2160000</v>
      </c>
      <c r="J338" s="27">
        <f>J339+J340+J341+J342+J343+J344+J345+J346</f>
        <v>200000</v>
      </c>
      <c r="K338" s="25"/>
      <c r="L338" s="25"/>
      <c r="M338" s="25"/>
      <c r="N338" s="27"/>
      <c r="O338" s="27"/>
      <c r="P338" s="25"/>
      <c r="Q338" s="29"/>
      <c r="R338" s="25"/>
      <c r="S338" s="25"/>
      <c r="T338" s="25"/>
      <c r="U338" s="31">
        <f>H338+I338+J338+N338+O338</f>
        <v>8923200</v>
      </c>
      <c r="V338" s="53"/>
      <c r="W338" s="54"/>
      <c r="X338" s="54"/>
      <c r="Y338" s="53"/>
      <c r="Z338" s="53"/>
      <c r="AA338" s="65"/>
      <c r="AB338" s="65"/>
      <c r="AC338" s="65"/>
      <c r="AD338" s="65"/>
      <c r="AE338" s="65"/>
    </row>
    <row r="339" spans="1:31" x14ac:dyDescent="0.2">
      <c r="A339" s="19" t="s">
        <v>9</v>
      </c>
      <c r="B339" s="19"/>
      <c r="C339" s="19"/>
      <c r="D339" s="19"/>
      <c r="E339" s="19"/>
      <c r="F339" s="19"/>
      <c r="G339" s="19"/>
      <c r="H339" s="23"/>
      <c r="I339" s="73"/>
      <c r="J339" s="19">
        <v>60000</v>
      </c>
      <c r="K339" s="19"/>
      <c r="L339" s="19"/>
      <c r="M339" s="19"/>
      <c r="N339" s="23"/>
      <c r="O339" s="23"/>
      <c r="P339" s="19"/>
      <c r="Q339" s="23"/>
      <c r="R339" s="19"/>
      <c r="S339" s="19"/>
      <c r="T339" s="19"/>
      <c r="U339" s="39">
        <f t="shared" ref="U339" si="15">H339+I339+J339+N339+O339</f>
        <v>60000</v>
      </c>
      <c r="V339" s="53"/>
      <c r="W339" s="55"/>
      <c r="X339" s="55"/>
      <c r="Y339" s="53"/>
      <c r="Z339" s="53"/>
      <c r="AA339" s="65"/>
      <c r="AB339" s="65"/>
      <c r="AC339" s="65"/>
      <c r="AD339" s="65"/>
      <c r="AE339" s="65"/>
    </row>
    <row r="340" spans="1:31" x14ac:dyDescent="0.2">
      <c r="A340" s="4" t="s">
        <v>118</v>
      </c>
      <c r="B340" s="4"/>
      <c r="C340" s="4"/>
      <c r="D340" s="4"/>
      <c r="E340" s="4"/>
      <c r="F340" s="4"/>
      <c r="G340" s="4"/>
      <c r="H340" s="4">
        <f>(11*56000)+(1*44800)+(1*33600)</f>
        <v>694400</v>
      </c>
      <c r="I340" s="76">
        <f>48000*8</f>
        <v>384000</v>
      </c>
      <c r="J340" s="4">
        <v>20000</v>
      </c>
      <c r="K340" s="4"/>
      <c r="L340" s="4"/>
      <c r="M340" s="4"/>
      <c r="N340" s="4"/>
      <c r="O340" s="8"/>
      <c r="P340" s="4"/>
      <c r="Q340" s="4"/>
      <c r="R340" s="4"/>
      <c r="S340" s="4"/>
      <c r="T340" s="4"/>
      <c r="U340" s="40">
        <f>H340+I340+J340</f>
        <v>1098400</v>
      </c>
      <c r="V340" s="45"/>
      <c r="W340" s="55"/>
      <c r="X340" s="55"/>
      <c r="Y340" s="53"/>
      <c r="Z340" s="53"/>
      <c r="AA340" s="65"/>
      <c r="AB340" s="65"/>
      <c r="AC340" s="65"/>
      <c r="AD340" s="65"/>
      <c r="AE340" s="65"/>
    </row>
    <row r="341" spans="1:31" x14ac:dyDescent="0.2">
      <c r="A341" s="4" t="s">
        <v>119</v>
      </c>
      <c r="B341" s="4"/>
      <c r="C341" s="4"/>
      <c r="D341" s="4"/>
      <c r="E341" s="4"/>
      <c r="F341" s="4"/>
      <c r="G341" s="4"/>
      <c r="H341" s="4">
        <v>862400</v>
      </c>
      <c r="I341" s="76">
        <f>48000*3</f>
        <v>144000</v>
      </c>
      <c r="J341" s="4">
        <v>20000</v>
      </c>
      <c r="K341" s="4"/>
      <c r="L341" s="4"/>
      <c r="M341" s="4"/>
      <c r="N341" s="4"/>
      <c r="O341" s="8"/>
      <c r="P341" s="4"/>
      <c r="Q341" s="4"/>
      <c r="R341" s="4"/>
      <c r="S341" s="4"/>
      <c r="T341" s="4"/>
      <c r="U341" s="40">
        <f t="shared" ref="U341:U346" si="16">H341+I341+J341</f>
        <v>1026400</v>
      </c>
      <c r="V341" s="45"/>
      <c r="W341" s="55"/>
      <c r="X341" s="55"/>
      <c r="Y341" s="53"/>
      <c r="Z341" s="53"/>
      <c r="AA341" s="65"/>
      <c r="AB341" s="65"/>
      <c r="AC341" s="65"/>
      <c r="AD341" s="65"/>
      <c r="AE341" s="65"/>
    </row>
    <row r="342" spans="1:31" x14ac:dyDescent="0.2">
      <c r="A342" s="4" t="s">
        <v>120</v>
      </c>
      <c r="B342" s="4"/>
      <c r="C342" s="4"/>
      <c r="D342" s="4"/>
      <c r="E342" s="4"/>
      <c r="F342" s="4"/>
      <c r="G342" s="4"/>
      <c r="H342" s="4">
        <v>1702400</v>
      </c>
      <c r="I342" s="76">
        <f>48000*9</f>
        <v>432000</v>
      </c>
      <c r="J342" s="4">
        <v>20000</v>
      </c>
      <c r="K342" s="4"/>
      <c r="L342" s="4"/>
      <c r="M342" s="4"/>
      <c r="N342" s="4"/>
      <c r="O342" s="8"/>
      <c r="P342" s="4"/>
      <c r="Q342" s="4"/>
      <c r="R342" s="4"/>
      <c r="S342" s="4"/>
      <c r="T342" s="4"/>
      <c r="U342" s="40">
        <f t="shared" si="16"/>
        <v>2154400</v>
      </c>
      <c r="V342" s="45"/>
      <c r="W342" s="55"/>
      <c r="X342" s="55"/>
      <c r="Y342" s="53"/>
      <c r="Z342" s="53"/>
      <c r="AA342" s="65"/>
      <c r="AB342" s="65"/>
      <c r="AC342" s="65"/>
      <c r="AD342" s="65"/>
      <c r="AE342" s="65"/>
    </row>
    <row r="343" spans="1:31" x14ac:dyDescent="0.2">
      <c r="A343" s="4" t="s">
        <v>121</v>
      </c>
      <c r="B343" s="4"/>
      <c r="C343" s="4"/>
      <c r="D343" s="4"/>
      <c r="E343" s="4"/>
      <c r="F343" s="4"/>
      <c r="G343" s="4"/>
      <c r="H343" s="4">
        <v>660800</v>
      </c>
      <c r="I343" s="76">
        <f>48000*4</f>
        <v>192000</v>
      </c>
      <c r="J343" s="4">
        <v>20000</v>
      </c>
      <c r="K343" s="4"/>
      <c r="L343" s="4"/>
      <c r="M343" s="4"/>
      <c r="N343" s="4"/>
      <c r="O343" s="8"/>
      <c r="P343" s="4"/>
      <c r="Q343" s="4"/>
      <c r="R343" s="4"/>
      <c r="S343" s="4"/>
      <c r="T343" s="4"/>
      <c r="U343" s="40">
        <f t="shared" si="16"/>
        <v>872800</v>
      </c>
      <c r="V343" s="45"/>
      <c r="W343" s="55"/>
      <c r="X343" s="55"/>
      <c r="Y343" s="53"/>
      <c r="Z343" s="53"/>
      <c r="AA343" s="65"/>
      <c r="AB343" s="65"/>
      <c r="AC343" s="65"/>
      <c r="AD343" s="65"/>
      <c r="AE343" s="65"/>
    </row>
    <row r="344" spans="1:31" x14ac:dyDescent="0.2">
      <c r="A344" s="4" t="s">
        <v>122</v>
      </c>
      <c r="B344" s="4"/>
      <c r="C344" s="4"/>
      <c r="D344" s="4"/>
      <c r="E344" s="4"/>
      <c r="F344" s="4"/>
      <c r="G344" s="4"/>
      <c r="H344" s="4">
        <v>616000</v>
      </c>
      <c r="I344" s="76">
        <f>48000*7</f>
        <v>336000</v>
      </c>
      <c r="J344" s="4">
        <v>20000</v>
      </c>
      <c r="K344" s="4"/>
      <c r="L344" s="4"/>
      <c r="M344" s="4"/>
      <c r="N344" s="4"/>
      <c r="O344" s="8"/>
      <c r="P344" s="4"/>
      <c r="Q344" s="4"/>
      <c r="R344" s="4"/>
      <c r="S344" s="4"/>
      <c r="T344" s="4"/>
      <c r="U344" s="40">
        <f t="shared" si="16"/>
        <v>972000</v>
      </c>
      <c r="V344" s="45"/>
      <c r="W344" s="55"/>
      <c r="X344" s="55"/>
      <c r="Y344" s="53"/>
      <c r="Z344" s="53"/>
      <c r="AA344" s="65"/>
      <c r="AB344" s="65"/>
      <c r="AC344" s="65"/>
      <c r="AD344" s="65"/>
      <c r="AE344" s="65"/>
    </row>
    <row r="345" spans="1:31" x14ac:dyDescent="0.2">
      <c r="A345" s="4" t="s">
        <v>123</v>
      </c>
      <c r="B345" s="4"/>
      <c r="C345" s="4"/>
      <c r="D345" s="4"/>
      <c r="E345" s="4"/>
      <c r="F345" s="4"/>
      <c r="G345" s="4"/>
      <c r="H345" s="4">
        <v>481600</v>
      </c>
      <c r="I345" s="76">
        <f>48000*1</f>
        <v>48000</v>
      </c>
      <c r="J345" s="4">
        <v>20000</v>
      </c>
      <c r="K345" s="4"/>
      <c r="L345" s="4"/>
      <c r="M345" s="4"/>
      <c r="N345" s="4"/>
      <c r="O345" s="8"/>
      <c r="P345" s="4"/>
      <c r="Q345" s="4"/>
      <c r="R345" s="4"/>
      <c r="S345" s="4"/>
      <c r="T345" s="4"/>
      <c r="U345" s="40">
        <f t="shared" si="16"/>
        <v>549600</v>
      </c>
      <c r="V345" s="45"/>
      <c r="W345" s="55"/>
      <c r="X345" s="55"/>
      <c r="Y345" s="53"/>
      <c r="Z345" s="53"/>
      <c r="AA345" s="65"/>
      <c r="AB345" s="65"/>
      <c r="AC345" s="65"/>
      <c r="AD345" s="65"/>
      <c r="AE345" s="65"/>
    </row>
    <row r="346" spans="1:31" x14ac:dyDescent="0.2">
      <c r="A346" s="4" t="s">
        <v>124</v>
      </c>
      <c r="B346" s="4"/>
      <c r="C346" s="4"/>
      <c r="D346" s="4"/>
      <c r="E346" s="4"/>
      <c r="F346" s="4"/>
      <c r="G346" s="4"/>
      <c r="H346" s="4">
        <f>(26*56000)+(2*44800)+(0*33600)</f>
        <v>1545600</v>
      </c>
      <c r="I346" s="76">
        <f>48000*13</f>
        <v>624000</v>
      </c>
      <c r="J346" s="4">
        <v>20000</v>
      </c>
      <c r="K346" s="4"/>
      <c r="L346" s="4"/>
      <c r="M346" s="4"/>
      <c r="N346" s="4"/>
      <c r="O346" s="8"/>
      <c r="P346" s="4"/>
      <c r="Q346" s="4"/>
      <c r="R346" s="4"/>
      <c r="S346" s="4"/>
      <c r="T346" s="4"/>
      <c r="U346" s="40">
        <f t="shared" si="16"/>
        <v>2189600</v>
      </c>
      <c r="V346" s="45"/>
      <c r="W346" s="55"/>
      <c r="X346" s="55"/>
      <c r="Y346" s="53"/>
      <c r="Z346" s="53"/>
      <c r="AA346" s="65"/>
      <c r="AB346" s="65"/>
      <c r="AC346" s="65"/>
      <c r="AD346" s="65"/>
      <c r="AE346" s="65"/>
    </row>
    <row r="347" spans="1:31" x14ac:dyDescent="0.2">
      <c r="J347" s="5"/>
      <c r="N347" s="12"/>
      <c r="O347" s="10"/>
      <c r="U347" s="10"/>
      <c r="V347" s="56"/>
      <c r="W347" s="53"/>
      <c r="X347" s="53"/>
      <c r="Y347" s="53"/>
      <c r="Z347" s="53"/>
      <c r="AA347" s="65"/>
      <c r="AB347" s="65"/>
      <c r="AC347" s="65"/>
      <c r="AD347" s="65"/>
      <c r="AE347" s="65"/>
    </row>
    <row r="348" spans="1:31" ht="18.75" x14ac:dyDescent="0.3">
      <c r="A348" s="33" t="s">
        <v>151</v>
      </c>
      <c r="B348" s="33"/>
      <c r="C348" s="33"/>
      <c r="D348" s="33"/>
      <c r="E348" s="33"/>
      <c r="F348" s="33"/>
      <c r="G348" s="33"/>
      <c r="H348" s="44"/>
      <c r="I348" s="33"/>
      <c r="J348" s="33"/>
      <c r="K348" s="33"/>
      <c r="L348" s="33"/>
      <c r="M348" s="33"/>
      <c r="N348" s="44"/>
      <c r="O348" s="33"/>
      <c r="P348" s="33"/>
      <c r="Q348" s="33"/>
      <c r="R348" s="33"/>
      <c r="S348" s="33"/>
      <c r="T348" s="33"/>
      <c r="U348" s="43"/>
      <c r="V348" s="53"/>
      <c r="W348" s="53"/>
      <c r="X348" s="53"/>
      <c r="Y348" s="53"/>
      <c r="Z348" s="53"/>
      <c r="AA348" s="65"/>
      <c r="AB348" s="65"/>
      <c r="AC348" s="65"/>
      <c r="AD348" s="65"/>
      <c r="AE348" s="65"/>
    </row>
    <row r="349" spans="1:31" ht="13.5" x14ac:dyDescent="0.25">
      <c r="A349" s="59" t="s">
        <v>152</v>
      </c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</row>
    <row r="350" spans="1:31" ht="13.5" x14ac:dyDescent="0.25">
      <c r="A350" s="59" t="s">
        <v>155</v>
      </c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</row>
    <row r="351" spans="1:31" ht="13.5" x14ac:dyDescent="0.25">
      <c r="A351" s="59" t="s">
        <v>153</v>
      </c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</row>
    <row r="352" spans="1:31" ht="13.5" x14ac:dyDescent="0.25">
      <c r="A352" s="59" t="s">
        <v>156</v>
      </c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65"/>
      <c r="W352" s="65"/>
      <c r="X352" s="65"/>
      <c r="Y352" s="65"/>
      <c r="Z352" s="65"/>
      <c r="AA352" s="65"/>
      <c r="AB352" s="65"/>
      <c r="AC352" s="65"/>
      <c r="AD352" s="65"/>
      <c r="AE352" s="65"/>
    </row>
    <row r="353" spans="1:31" ht="13.5" x14ac:dyDescent="0.25">
      <c r="A353" s="59" t="s">
        <v>154</v>
      </c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65"/>
      <c r="W353" s="65"/>
      <c r="X353" s="65"/>
      <c r="Y353" s="65"/>
      <c r="Z353" s="65"/>
      <c r="AA353" s="65"/>
      <c r="AB353" s="65"/>
      <c r="AC353" s="65"/>
      <c r="AD353" s="65"/>
      <c r="AE353" s="65"/>
    </row>
    <row r="354" spans="1:31" ht="13.5" x14ac:dyDescent="0.25">
      <c r="A354" s="59" t="s">
        <v>157</v>
      </c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</row>
    <row r="355" spans="1:31" ht="13.5" x14ac:dyDescent="0.25">
      <c r="A355" s="59" t="s">
        <v>164</v>
      </c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65"/>
      <c r="W355" s="65"/>
      <c r="X355" s="65"/>
      <c r="Y355" s="65"/>
      <c r="Z355" s="65"/>
      <c r="AA355" s="65"/>
      <c r="AB355" s="65"/>
      <c r="AC355" s="65"/>
      <c r="AD355" s="65"/>
      <c r="AE355" s="65"/>
    </row>
    <row r="356" spans="1:31" ht="13.5" x14ac:dyDescent="0.25">
      <c r="A356" s="59" t="s">
        <v>165</v>
      </c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65"/>
      <c r="W356" s="65"/>
      <c r="X356" s="65"/>
      <c r="Y356" s="65"/>
      <c r="Z356" s="65"/>
      <c r="AA356" s="65"/>
      <c r="AB356" s="65"/>
      <c r="AC356" s="65"/>
      <c r="AD356" s="65"/>
      <c r="AE356" s="65"/>
    </row>
    <row r="357" spans="1:31" ht="13.5" x14ac:dyDescent="0.25">
      <c r="A357" s="59" t="s">
        <v>159</v>
      </c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65"/>
      <c r="W357" s="65"/>
      <c r="X357" s="65"/>
      <c r="Y357" s="65"/>
      <c r="Z357" s="65"/>
      <c r="AA357" s="65"/>
      <c r="AB357" s="65"/>
      <c r="AC357" s="65"/>
      <c r="AD357" s="65"/>
      <c r="AE357" s="65"/>
    </row>
    <row r="358" spans="1:31" ht="13.5" x14ac:dyDescent="0.25">
      <c r="A358" s="59" t="s">
        <v>166</v>
      </c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</row>
    <row r="359" spans="1:31" ht="13.5" x14ac:dyDescent="0.25">
      <c r="A359" s="59" t="s">
        <v>167</v>
      </c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</row>
    <row r="360" spans="1:31" x14ac:dyDescent="0.2">
      <c r="V360" s="65"/>
      <c r="W360" s="65"/>
      <c r="X360" s="65"/>
      <c r="Y360" s="65"/>
      <c r="Z360" s="65"/>
      <c r="AA360" s="65"/>
      <c r="AB360" s="65"/>
      <c r="AC360" s="65"/>
      <c r="AD360" s="65"/>
      <c r="AE360" s="65"/>
    </row>
    <row r="361" spans="1:31" x14ac:dyDescent="0.2">
      <c r="V361" s="65"/>
      <c r="W361" s="65"/>
      <c r="X361" s="65"/>
      <c r="Y361" s="65"/>
      <c r="Z361" s="65"/>
      <c r="AA361" s="65"/>
      <c r="AB361" s="65"/>
      <c r="AC361" s="65"/>
      <c r="AD361" s="65"/>
      <c r="AE361" s="65"/>
    </row>
    <row r="362" spans="1:31" ht="17.25" x14ac:dyDescent="0.3">
      <c r="A362" s="94" t="s">
        <v>184</v>
      </c>
      <c r="V362" s="65"/>
      <c r="W362" s="65"/>
      <c r="X362" s="65"/>
      <c r="Y362" s="65"/>
      <c r="Z362" s="65"/>
      <c r="AA362" s="65"/>
      <c r="AB362" s="65"/>
      <c r="AC362" s="65"/>
      <c r="AD362" s="65"/>
      <c r="AE362" s="65"/>
    </row>
    <row r="363" spans="1:31" x14ac:dyDescent="0.2">
      <c r="V363" s="65"/>
      <c r="W363" s="65"/>
      <c r="X363" s="65"/>
      <c r="Y363" s="65"/>
      <c r="Z363" s="65"/>
      <c r="AA363" s="65"/>
      <c r="AB363" s="65"/>
      <c r="AC363" s="65"/>
      <c r="AD363" s="65"/>
      <c r="AE363" s="65"/>
    </row>
    <row r="364" spans="1:31" ht="17.25" x14ac:dyDescent="0.3">
      <c r="A364" s="94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</row>
    <row r="365" spans="1:31" x14ac:dyDescent="0.2"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</row>
    <row r="366" spans="1:31" x14ac:dyDescent="0.2"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</row>
    <row r="367" spans="1:31" x14ac:dyDescent="0.2">
      <c r="V367" s="65"/>
      <c r="W367" s="65"/>
      <c r="X367" s="65"/>
      <c r="Y367" s="65"/>
      <c r="Z367" s="65"/>
      <c r="AA367" s="65"/>
      <c r="AB367" s="65"/>
      <c r="AC367" s="65"/>
      <c r="AD367" s="65"/>
      <c r="AE367" s="65"/>
    </row>
    <row r="368" spans="1:31" x14ac:dyDescent="0.2">
      <c r="V368" s="65"/>
      <c r="W368" s="65"/>
      <c r="X368" s="65"/>
      <c r="Y368" s="65"/>
      <c r="Z368" s="65"/>
      <c r="AA368" s="65"/>
      <c r="AB368" s="65"/>
      <c r="AC368" s="65"/>
      <c r="AD368" s="65"/>
      <c r="AE368" s="65"/>
    </row>
    <row r="369" spans="1:31" x14ac:dyDescent="0.2">
      <c r="V369" s="65"/>
      <c r="W369" s="65"/>
      <c r="X369" s="65"/>
      <c r="Y369" s="65"/>
      <c r="Z369" s="65"/>
      <c r="AA369" s="65"/>
      <c r="AB369" s="65"/>
      <c r="AC369" s="65"/>
      <c r="AD369" s="65"/>
      <c r="AE369" s="65"/>
    </row>
    <row r="370" spans="1:31" x14ac:dyDescent="0.2">
      <c r="A370" s="6" t="s">
        <v>10</v>
      </c>
      <c r="U370" s="92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</row>
    <row r="371" spans="1:31" x14ac:dyDescent="0.2">
      <c r="A371" s="14" t="s">
        <v>0</v>
      </c>
      <c r="B371" s="14" t="s">
        <v>46</v>
      </c>
      <c r="C371" s="14" t="s">
        <v>26</v>
      </c>
      <c r="D371" s="14" t="s">
        <v>46</v>
      </c>
      <c r="E371" s="14" t="s">
        <v>28</v>
      </c>
      <c r="F371" s="14" t="s">
        <v>43</v>
      </c>
      <c r="G371" s="14" t="s">
        <v>43</v>
      </c>
      <c r="H371" s="14" t="s">
        <v>14</v>
      </c>
      <c r="I371" s="14" t="s">
        <v>138</v>
      </c>
      <c r="J371" s="14" t="s">
        <v>30</v>
      </c>
      <c r="K371" s="14" t="s">
        <v>135</v>
      </c>
      <c r="L371" s="14" t="s">
        <v>13</v>
      </c>
      <c r="M371" s="14" t="s">
        <v>13</v>
      </c>
      <c r="N371" s="14" t="s">
        <v>31</v>
      </c>
      <c r="O371" s="14" t="s">
        <v>33</v>
      </c>
      <c r="P371" s="14" t="s">
        <v>33</v>
      </c>
      <c r="Q371" s="14" t="s">
        <v>145</v>
      </c>
      <c r="R371" s="14" t="s">
        <v>35</v>
      </c>
      <c r="S371" s="34" t="s">
        <v>37</v>
      </c>
      <c r="T371" s="14" t="s">
        <v>39</v>
      </c>
      <c r="U371" s="14" t="s">
        <v>41</v>
      </c>
      <c r="V371" s="53"/>
      <c r="W371" s="52"/>
      <c r="X371" s="52"/>
      <c r="Y371" s="53"/>
      <c r="Z371" s="65"/>
      <c r="AA371" s="65"/>
      <c r="AB371" s="65"/>
      <c r="AC371" s="65"/>
      <c r="AD371" s="65"/>
      <c r="AE371" s="65"/>
    </row>
    <row r="372" spans="1:31" ht="13.5" thickBot="1" x14ac:dyDescent="0.25">
      <c r="A372" s="18"/>
      <c r="B372" s="18" t="s">
        <v>48</v>
      </c>
      <c r="C372" s="18" t="s">
        <v>27</v>
      </c>
      <c r="D372" s="18" t="s">
        <v>47</v>
      </c>
      <c r="E372" s="18" t="s">
        <v>29</v>
      </c>
      <c r="F372" s="18" t="s">
        <v>44</v>
      </c>
      <c r="G372" s="18" t="s">
        <v>45</v>
      </c>
      <c r="H372" s="21" t="s">
        <v>137</v>
      </c>
      <c r="I372" s="18" t="s">
        <v>139</v>
      </c>
      <c r="J372" s="18" t="s">
        <v>146</v>
      </c>
      <c r="K372" s="18" t="s">
        <v>136</v>
      </c>
      <c r="L372" s="18" t="s">
        <v>134</v>
      </c>
      <c r="M372" s="18" t="s">
        <v>160</v>
      </c>
      <c r="N372" s="18" t="s">
        <v>32</v>
      </c>
      <c r="O372" s="18" t="s">
        <v>34</v>
      </c>
      <c r="P372" s="18" t="s">
        <v>133</v>
      </c>
      <c r="Q372" s="42" t="s">
        <v>144</v>
      </c>
      <c r="R372" s="18" t="s">
        <v>36</v>
      </c>
      <c r="S372" s="35" t="s">
        <v>38</v>
      </c>
      <c r="T372" s="18" t="s">
        <v>40</v>
      </c>
      <c r="U372" s="18" t="s">
        <v>42</v>
      </c>
      <c r="V372" s="53"/>
      <c r="W372" s="52"/>
      <c r="X372" s="52"/>
      <c r="Y372" s="53"/>
      <c r="Z372" s="65"/>
      <c r="AA372" s="65"/>
      <c r="AB372" s="65"/>
      <c r="AC372" s="65"/>
      <c r="AD372" s="65"/>
      <c r="AE372" s="65"/>
    </row>
    <row r="373" spans="1:31" ht="13.5" thickBot="1" x14ac:dyDescent="0.25">
      <c r="A373" s="24" t="s">
        <v>25</v>
      </c>
      <c r="B373" s="25"/>
      <c r="C373" s="25"/>
      <c r="D373" s="25"/>
      <c r="E373" s="25"/>
      <c r="F373" s="25"/>
      <c r="G373" s="25"/>
      <c r="H373" s="27">
        <f>H375+H376+H377+H378+H379+H380+H381</f>
        <v>6608000</v>
      </c>
      <c r="I373" s="27">
        <f>I375+I376+I377+I378+I379+I380+I381</f>
        <v>2448000</v>
      </c>
      <c r="J373" s="31">
        <f>J374+J375+J376+J377+J378+J379+J380+J381</f>
        <v>200000</v>
      </c>
      <c r="K373" s="25"/>
      <c r="L373" s="25"/>
      <c r="M373" s="25"/>
      <c r="N373" s="27"/>
      <c r="O373" s="27"/>
      <c r="P373" s="25"/>
      <c r="Q373" s="29"/>
      <c r="R373" s="29"/>
      <c r="S373" s="29"/>
      <c r="T373" s="29"/>
      <c r="U373" s="31">
        <f>H373+I373+J373+N373+O373</f>
        <v>9256000</v>
      </c>
      <c r="V373" s="53"/>
      <c r="W373" s="57"/>
      <c r="X373" s="54"/>
      <c r="Y373" s="53"/>
      <c r="Z373" s="65"/>
      <c r="AA373" s="65"/>
      <c r="AB373" s="65"/>
      <c r="AC373" s="65"/>
      <c r="AD373" s="65"/>
      <c r="AE373" s="65"/>
    </row>
    <row r="374" spans="1:31" x14ac:dyDescent="0.2">
      <c r="A374" s="19" t="s">
        <v>10</v>
      </c>
      <c r="B374" s="19"/>
      <c r="C374" s="19"/>
      <c r="D374" s="19"/>
      <c r="E374" s="19"/>
      <c r="F374" s="19"/>
      <c r="G374" s="19"/>
      <c r="H374" s="23"/>
      <c r="I374" s="36"/>
      <c r="J374" s="38">
        <v>60000</v>
      </c>
      <c r="K374" s="19"/>
      <c r="L374" s="19"/>
      <c r="M374" s="19"/>
      <c r="N374" s="23"/>
      <c r="O374" s="23"/>
      <c r="P374" s="19"/>
      <c r="Q374" s="23"/>
      <c r="R374" s="23"/>
      <c r="S374" s="23"/>
      <c r="T374" s="23"/>
      <c r="U374" s="39">
        <f t="shared" ref="U374" si="17">H374+I374+J374+N374+O374</f>
        <v>60000</v>
      </c>
      <c r="V374" s="53"/>
      <c r="W374" s="58"/>
      <c r="X374" s="55"/>
      <c r="Y374" s="53"/>
      <c r="Z374" s="65"/>
      <c r="AA374" s="65"/>
      <c r="AB374" s="65"/>
      <c r="AC374" s="65"/>
      <c r="AD374" s="65"/>
      <c r="AE374" s="65"/>
    </row>
    <row r="375" spans="1:31" x14ac:dyDescent="0.2">
      <c r="A375" s="4" t="s">
        <v>125</v>
      </c>
      <c r="B375" s="4"/>
      <c r="C375" s="4"/>
      <c r="D375" s="4"/>
      <c r="E375" s="4"/>
      <c r="F375" s="4"/>
      <c r="G375" s="4"/>
      <c r="H375" s="4">
        <v>840000</v>
      </c>
      <c r="I375" s="76">
        <f>48000*5</f>
        <v>240000</v>
      </c>
      <c r="J375" s="4">
        <v>20000</v>
      </c>
      <c r="K375" s="4"/>
      <c r="L375" s="4"/>
      <c r="M375" s="4"/>
      <c r="N375" s="4"/>
      <c r="O375" s="8"/>
      <c r="P375" s="4"/>
      <c r="Q375" s="4"/>
      <c r="R375" s="4"/>
      <c r="S375" s="4"/>
      <c r="T375" s="4"/>
      <c r="U375" s="40">
        <f>H375+I375+J375</f>
        <v>1100000</v>
      </c>
      <c r="V375" s="45"/>
      <c r="W375" s="55"/>
      <c r="X375" s="55"/>
      <c r="Y375" s="53"/>
      <c r="Z375" s="65"/>
      <c r="AA375" s="65"/>
      <c r="AB375" s="65"/>
      <c r="AC375" s="65"/>
      <c r="AD375" s="65"/>
      <c r="AE375" s="65"/>
    </row>
    <row r="376" spans="1:31" x14ac:dyDescent="0.2">
      <c r="A376" s="4" t="s">
        <v>126</v>
      </c>
      <c r="B376" s="4"/>
      <c r="C376" s="4"/>
      <c r="D376" s="4"/>
      <c r="E376" s="4"/>
      <c r="F376" s="4"/>
      <c r="G376" s="4"/>
      <c r="H376" s="4">
        <v>828800</v>
      </c>
      <c r="I376" s="76">
        <f>48000*7</f>
        <v>336000</v>
      </c>
      <c r="J376" s="4">
        <v>20000</v>
      </c>
      <c r="K376" s="4"/>
      <c r="L376" s="4"/>
      <c r="M376" s="4"/>
      <c r="N376" s="4"/>
      <c r="O376" s="8"/>
      <c r="P376" s="4"/>
      <c r="Q376" s="4"/>
      <c r="R376" s="4"/>
      <c r="S376" s="4"/>
      <c r="T376" s="4"/>
      <c r="U376" s="40">
        <f t="shared" ref="U376:U381" si="18">H376+I376+J376</f>
        <v>1184800</v>
      </c>
      <c r="V376" s="45"/>
      <c r="W376" s="55"/>
      <c r="X376" s="55"/>
      <c r="Y376" s="53"/>
      <c r="Z376" s="65"/>
      <c r="AA376" s="65"/>
      <c r="AB376" s="65"/>
      <c r="AC376" s="65"/>
      <c r="AD376" s="65"/>
      <c r="AE376" s="65"/>
    </row>
    <row r="377" spans="1:31" x14ac:dyDescent="0.2">
      <c r="A377" s="4" t="s">
        <v>140</v>
      </c>
      <c r="B377" s="4"/>
      <c r="C377" s="4"/>
      <c r="D377" s="4"/>
      <c r="E377" s="4"/>
      <c r="F377" s="4"/>
      <c r="G377" s="4"/>
      <c r="H377" s="4">
        <v>1635200</v>
      </c>
      <c r="I377" s="76">
        <f>48000*17</f>
        <v>816000</v>
      </c>
      <c r="J377" s="4">
        <v>20000</v>
      </c>
      <c r="K377" s="4"/>
      <c r="L377" s="4"/>
      <c r="M377" s="4"/>
      <c r="N377" s="4"/>
      <c r="O377" s="8"/>
      <c r="P377" s="4"/>
      <c r="Q377" s="4"/>
      <c r="R377" s="4"/>
      <c r="S377" s="4"/>
      <c r="T377" s="4"/>
      <c r="U377" s="40">
        <f t="shared" si="18"/>
        <v>2471200</v>
      </c>
      <c r="V377" s="45"/>
      <c r="W377" s="55"/>
      <c r="X377" s="55"/>
      <c r="Y377" s="53"/>
      <c r="Z377" s="65"/>
      <c r="AA377" s="65"/>
      <c r="AB377" s="65"/>
      <c r="AC377" s="65"/>
      <c r="AD377" s="65"/>
      <c r="AE377" s="65"/>
    </row>
    <row r="378" spans="1:31" x14ac:dyDescent="0.2">
      <c r="A378" s="4" t="s">
        <v>127</v>
      </c>
      <c r="B378" s="4"/>
      <c r="C378" s="4"/>
      <c r="D378" s="4"/>
      <c r="E378" s="4"/>
      <c r="F378" s="4"/>
      <c r="G378" s="4"/>
      <c r="H378" s="4">
        <v>515200</v>
      </c>
      <c r="I378" s="76">
        <f>48000*4</f>
        <v>192000</v>
      </c>
      <c r="J378" s="4">
        <v>20000</v>
      </c>
      <c r="K378" s="4"/>
      <c r="L378" s="4"/>
      <c r="M378" s="4"/>
      <c r="N378" s="4"/>
      <c r="O378" s="8"/>
      <c r="P378" s="4"/>
      <c r="Q378" s="4"/>
      <c r="R378" s="4"/>
      <c r="S378" s="4"/>
      <c r="T378" s="4"/>
      <c r="U378" s="40">
        <f t="shared" si="18"/>
        <v>727200</v>
      </c>
      <c r="V378" s="45"/>
      <c r="W378" s="55"/>
      <c r="X378" s="55"/>
      <c r="Y378" s="53"/>
      <c r="Z378" s="65"/>
      <c r="AA378" s="65"/>
      <c r="AB378" s="65"/>
      <c r="AC378" s="65"/>
      <c r="AD378" s="65"/>
      <c r="AE378" s="65"/>
    </row>
    <row r="379" spans="1:31" x14ac:dyDescent="0.2">
      <c r="A379" s="4" t="s">
        <v>128</v>
      </c>
      <c r="B379" s="4"/>
      <c r="C379" s="4"/>
      <c r="D379" s="4"/>
      <c r="E379" s="4"/>
      <c r="F379" s="4"/>
      <c r="G379" s="4"/>
      <c r="H379" s="4">
        <v>1019200</v>
      </c>
      <c r="I379" s="76">
        <f>48000*7</f>
        <v>336000</v>
      </c>
      <c r="J379" s="4">
        <v>20000</v>
      </c>
      <c r="K379" s="4"/>
      <c r="L379" s="4"/>
      <c r="M379" s="4"/>
      <c r="N379" s="41"/>
      <c r="O379" s="4"/>
      <c r="P379" s="4"/>
      <c r="Q379" s="4"/>
      <c r="R379" s="4"/>
      <c r="S379" s="4"/>
      <c r="T379" s="4"/>
      <c r="U379" s="40">
        <f t="shared" si="18"/>
        <v>1375200</v>
      </c>
      <c r="V379" s="45"/>
      <c r="W379" s="55"/>
      <c r="X379" s="58"/>
      <c r="Y379" s="53"/>
      <c r="Z379" s="65"/>
      <c r="AA379" s="65"/>
      <c r="AB379" s="65"/>
      <c r="AC379" s="65"/>
      <c r="AD379" s="65"/>
      <c r="AE379" s="65"/>
    </row>
    <row r="380" spans="1:31" x14ac:dyDescent="0.2">
      <c r="A380" s="4" t="s">
        <v>129</v>
      </c>
      <c r="B380" s="4"/>
      <c r="C380" s="4"/>
      <c r="D380" s="4"/>
      <c r="E380" s="4"/>
      <c r="F380" s="4"/>
      <c r="G380" s="4"/>
      <c r="H380" s="4">
        <f>(14*56000)+(1*44800)+(1*33600)</f>
        <v>862400</v>
      </c>
      <c r="I380" s="76">
        <f>48000*6</f>
        <v>288000</v>
      </c>
      <c r="J380" s="4">
        <v>20000</v>
      </c>
      <c r="K380" s="4"/>
      <c r="L380" s="4"/>
      <c r="M380" s="4"/>
      <c r="N380" s="41"/>
      <c r="O380" s="4"/>
      <c r="P380" s="4"/>
      <c r="Q380" s="4"/>
      <c r="R380" s="4"/>
      <c r="S380" s="4"/>
      <c r="T380" s="4"/>
      <c r="U380" s="40">
        <f t="shared" si="18"/>
        <v>1170400</v>
      </c>
      <c r="V380" s="45"/>
      <c r="W380" s="55"/>
      <c r="X380" s="58"/>
      <c r="Y380" s="53"/>
      <c r="Z380" s="65"/>
      <c r="AA380" s="65"/>
      <c r="AB380" s="65"/>
      <c r="AC380" s="65"/>
      <c r="AD380" s="65"/>
      <c r="AE380" s="65"/>
    </row>
    <row r="381" spans="1:31" x14ac:dyDescent="0.2">
      <c r="A381" s="4" t="s">
        <v>130</v>
      </c>
      <c r="B381" s="4"/>
      <c r="C381" s="4"/>
      <c r="D381" s="4"/>
      <c r="E381" s="4"/>
      <c r="F381" s="4"/>
      <c r="G381" s="4"/>
      <c r="H381" s="4">
        <v>907200</v>
      </c>
      <c r="I381" s="76">
        <f>48000*5</f>
        <v>240000</v>
      </c>
      <c r="J381" s="4">
        <v>20000</v>
      </c>
      <c r="K381" s="4"/>
      <c r="L381" s="4"/>
      <c r="M381" s="4"/>
      <c r="N381" s="41"/>
      <c r="O381" s="4"/>
      <c r="P381" s="4"/>
      <c r="Q381" s="4"/>
      <c r="R381" s="4"/>
      <c r="S381" s="4"/>
      <c r="T381" s="4"/>
      <c r="U381" s="40">
        <f t="shared" si="18"/>
        <v>1167200</v>
      </c>
      <c r="V381" s="45"/>
      <c r="W381" s="55"/>
      <c r="X381" s="58"/>
      <c r="Y381" s="53"/>
      <c r="Z381" s="65"/>
      <c r="AA381" s="65"/>
      <c r="AB381" s="65"/>
      <c r="AC381" s="65"/>
      <c r="AD381" s="65"/>
      <c r="AE381" s="65"/>
    </row>
    <row r="382" spans="1:31" x14ac:dyDescent="0.2">
      <c r="J382" s="5"/>
      <c r="N382" s="10"/>
      <c r="O382" s="10"/>
      <c r="U382" s="30"/>
      <c r="V382" s="66"/>
      <c r="W382" s="65"/>
      <c r="X382" s="65"/>
      <c r="Y382" s="65"/>
      <c r="Z382" s="65"/>
      <c r="AA382" s="65"/>
      <c r="AB382" s="65"/>
      <c r="AC382" s="65"/>
      <c r="AD382" s="65"/>
      <c r="AE382" s="65"/>
    </row>
    <row r="383" spans="1:31" x14ac:dyDescent="0.2">
      <c r="J383" s="5"/>
      <c r="N383" s="10"/>
      <c r="O383" s="10"/>
      <c r="U383" s="30"/>
      <c r="V383" s="65"/>
      <c r="W383" s="65"/>
      <c r="X383" s="65"/>
      <c r="Y383" s="65"/>
      <c r="Z383" s="65"/>
      <c r="AA383" s="65"/>
      <c r="AB383" s="65"/>
      <c r="AC383" s="65"/>
      <c r="AD383" s="65"/>
      <c r="AE383" s="65"/>
    </row>
    <row r="384" spans="1:31" ht="18.75" x14ac:dyDescent="0.3">
      <c r="A384" s="33" t="s">
        <v>151</v>
      </c>
      <c r="B384" s="33"/>
      <c r="C384" s="33"/>
      <c r="D384" s="33"/>
      <c r="E384" s="33"/>
      <c r="F384" s="33"/>
      <c r="G384" s="33"/>
      <c r="H384" s="44"/>
      <c r="I384" s="33"/>
      <c r="J384" s="33"/>
      <c r="K384" s="33"/>
      <c r="L384" s="33"/>
      <c r="M384" s="33"/>
      <c r="N384" s="44"/>
      <c r="O384" s="33"/>
      <c r="P384" s="33"/>
      <c r="Q384" s="33"/>
      <c r="R384" s="33"/>
      <c r="S384" s="33"/>
      <c r="T384" s="33"/>
      <c r="U384" s="43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</row>
    <row r="385" spans="1:31" ht="13.5" x14ac:dyDescent="0.25">
      <c r="A385" s="59" t="s">
        <v>152</v>
      </c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</row>
    <row r="386" spans="1:31" ht="13.5" x14ac:dyDescent="0.25">
      <c r="A386" s="59" t="s">
        <v>155</v>
      </c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</row>
    <row r="387" spans="1:31" ht="13.5" x14ac:dyDescent="0.25">
      <c r="A387" s="59" t="s">
        <v>153</v>
      </c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</row>
    <row r="388" spans="1:31" ht="13.5" x14ac:dyDescent="0.25">
      <c r="A388" s="59" t="s">
        <v>156</v>
      </c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</row>
    <row r="389" spans="1:31" ht="13.5" x14ac:dyDescent="0.25">
      <c r="A389" s="59" t="s">
        <v>154</v>
      </c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</row>
    <row r="390" spans="1:31" ht="13.5" x14ac:dyDescent="0.25">
      <c r="A390" s="59" t="s">
        <v>157</v>
      </c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</row>
    <row r="391" spans="1:31" ht="13.5" x14ac:dyDescent="0.25">
      <c r="A391" s="59" t="s">
        <v>164</v>
      </c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</row>
    <row r="392" spans="1:31" ht="13.5" x14ac:dyDescent="0.25">
      <c r="A392" s="59" t="s">
        <v>165</v>
      </c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</row>
    <row r="393" spans="1:31" ht="13.5" x14ac:dyDescent="0.25">
      <c r="A393" s="59" t="s">
        <v>159</v>
      </c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65"/>
      <c r="W393" s="65"/>
      <c r="X393" s="65"/>
      <c r="Y393" s="65"/>
      <c r="Z393" s="65"/>
      <c r="AA393" s="65"/>
      <c r="AB393" s="65"/>
      <c r="AC393" s="65"/>
      <c r="AD393" s="65"/>
      <c r="AE393" s="65"/>
    </row>
    <row r="394" spans="1:31" ht="13.5" x14ac:dyDescent="0.25">
      <c r="A394" s="59" t="s">
        <v>166</v>
      </c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65"/>
      <c r="W394" s="65"/>
      <c r="X394" s="65"/>
      <c r="Y394" s="65"/>
      <c r="Z394" s="65"/>
      <c r="AA394" s="65"/>
      <c r="AB394" s="65"/>
      <c r="AC394" s="65"/>
      <c r="AD394" s="65"/>
      <c r="AE394" s="65"/>
    </row>
    <row r="395" spans="1:31" ht="13.5" x14ac:dyDescent="0.25">
      <c r="A395" s="59" t="s">
        <v>167</v>
      </c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</row>
    <row r="396" spans="1:31" x14ac:dyDescent="0.2">
      <c r="V396" s="65"/>
      <c r="W396" s="65"/>
      <c r="X396" s="65"/>
      <c r="Y396" s="65"/>
      <c r="Z396" s="65"/>
      <c r="AA396" s="65"/>
      <c r="AB396" s="65"/>
      <c r="AC396" s="65"/>
      <c r="AD396" s="65"/>
      <c r="AE396" s="65"/>
    </row>
    <row r="397" spans="1:31" ht="17.25" x14ac:dyDescent="0.3">
      <c r="A397" s="94" t="s">
        <v>184</v>
      </c>
      <c r="V397" s="65"/>
      <c r="W397" s="65"/>
      <c r="X397" s="65"/>
      <c r="Y397" s="65"/>
      <c r="Z397" s="65"/>
      <c r="AA397" s="65"/>
      <c r="AB397" s="65"/>
      <c r="AC397" s="65"/>
      <c r="AD397" s="65"/>
      <c r="AE397" s="65"/>
    </row>
    <row r="398" spans="1:31" x14ac:dyDescent="0.2">
      <c r="V398" s="65"/>
      <c r="W398" s="65"/>
      <c r="X398" s="65"/>
      <c r="Y398" s="65"/>
      <c r="Z398" s="65"/>
      <c r="AA398" s="65"/>
      <c r="AB398" s="65"/>
      <c r="AC398" s="65"/>
      <c r="AD398" s="65"/>
      <c r="AE398" s="65"/>
    </row>
    <row r="399" spans="1:31" x14ac:dyDescent="0.2">
      <c r="V399" s="65"/>
      <c r="W399" s="65"/>
      <c r="X399" s="65"/>
      <c r="Y399" s="65"/>
      <c r="Z399" s="65"/>
      <c r="AA399" s="65"/>
      <c r="AB399" s="65"/>
      <c r="AC399" s="65"/>
      <c r="AD399" s="65"/>
      <c r="AE399" s="65"/>
    </row>
    <row r="400" spans="1:31" x14ac:dyDescent="0.2">
      <c r="V400" s="65"/>
      <c r="W400" s="65"/>
      <c r="X400" s="65"/>
      <c r="Y400" s="65"/>
      <c r="Z400" s="65"/>
      <c r="AA400" s="65"/>
      <c r="AB400" s="65"/>
      <c r="AC400" s="65"/>
      <c r="AD400" s="65"/>
      <c r="AE400" s="65"/>
    </row>
    <row r="401" spans="1:31" x14ac:dyDescent="0.2">
      <c r="V401" s="65"/>
      <c r="W401" s="65"/>
      <c r="X401" s="65"/>
      <c r="Y401" s="65"/>
      <c r="Z401" s="65"/>
      <c r="AA401" s="65"/>
      <c r="AB401" s="65"/>
      <c r="AC401" s="65"/>
      <c r="AD401" s="65"/>
      <c r="AE401" s="65"/>
    </row>
    <row r="402" spans="1:31" x14ac:dyDescent="0.2">
      <c r="V402" s="65"/>
      <c r="W402" s="65"/>
      <c r="X402" s="65"/>
      <c r="Y402" s="65"/>
      <c r="Z402" s="65"/>
      <c r="AA402" s="65"/>
      <c r="AB402" s="65"/>
      <c r="AC402" s="65"/>
      <c r="AD402" s="65"/>
      <c r="AE402" s="65"/>
    </row>
    <row r="403" spans="1:31" x14ac:dyDescent="0.2">
      <c r="V403" s="65"/>
      <c r="W403" s="65"/>
      <c r="X403" s="65"/>
      <c r="Y403" s="65"/>
      <c r="Z403" s="65"/>
      <c r="AA403" s="65"/>
      <c r="AB403" s="65"/>
      <c r="AC403" s="65"/>
      <c r="AD403" s="65"/>
      <c r="AE403" s="65"/>
    </row>
    <row r="404" spans="1:31" x14ac:dyDescent="0.2">
      <c r="V404" s="65"/>
      <c r="W404" s="65"/>
      <c r="X404" s="65"/>
      <c r="Y404" s="65"/>
      <c r="Z404" s="65"/>
      <c r="AA404" s="65"/>
      <c r="AB404" s="65"/>
      <c r="AC404" s="65"/>
      <c r="AD404" s="65"/>
      <c r="AE404" s="65"/>
    </row>
    <row r="405" spans="1:31" x14ac:dyDescent="0.2">
      <c r="V405" s="65"/>
      <c r="W405" s="65"/>
      <c r="X405" s="65"/>
      <c r="Y405" s="65"/>
      <c r="Z405" s="65"/>
      <c r="AA405" s="65"/>
      <c r="AB405" s="65"/>
      <c r="AC405" s="65"/>
      <c r="AD405" s="65"/>
      <c r="AE405" s="65"/>
    </row>
    <row r="406" spans="1:31" x14ac:dyDescent="0.2">
      <c r="V406" s="65"/>
      <c r="W406" s="65"/>
      <c r="X406" s="65"/>
      <c r="Y406" s="65"/>
      <c r="Z406" s="65"/>
      <c r="AA406" s="65"/>
      <c r="AB406" s="65"/>
      <c r="AC406" s="65"/>
      <c r="AD406" s="65"/>
      <c r="AE406" s="65"/>
    </row>
    <row r="407" spans="1:31" x14ac:dyDescent="0.2">
      <c r="A407" t="s">
        <v>132</v>
      </c>
      <c r="V407" s="65"/>
      <c r="W407" s="65"/>
      <c r="X407" s="65"/>
      <c r="Y407" s="65"/>
      <c r="Z407" s="65"/>
      <c r="AA407" s="65"/>
      <c r="AB407" s="65"/>
      <c r="AC407" s="65"/>
      <c r="AD407" s="65"/>
      <c r="AE407" s="65"/>
    </row>
    <row r="408" spans="1:31" x14ac:dyDescent="0.2">
      <c r="A408" s="14" t="s">
        <v>0</v>
      </c>
      <c r="B408" s="14" t="s">
        <v>46</v>
      </c>
      <c r="C408" s="14" t="s">
        <v>26</v>
      </c>
      <c r="D408" s="14" t="s">
        <v>46</v>
      </c>
      <c r="E408" s="14" t="s">
        <v>28</v>
      </c>
      <c r="F408" s="14" t="s">
        <v>43</v>
      </c>
      <c r="G408" s="14" t="s">
        <v>43</v>
      </c>
      <c r="H408" s="14" t="s">
        <v>14</v>
      </c>
      <c r="I408" s="14" t="s">
        <v>138</v>
      </c>
      <c r="J408" s="14" t="s">
        <v>30</v>
      </c>
      <c r="K408" s="14" t="s">
        <v>135</v>
      </c>
      <c r="L408" s="14" t="s">
        <v>13</v>
      </c>
      <c r="M408" s="14" t="s">
        <v>13</v>
      </c>
      <c r="N408" s="14" t="s">
        <v>31</v>
      </c>
      <c r="O408" s="14" t="s">
        <v>33</v>
      </c>
      <c r="P408" s="14" t="s">
        <v>33</v>
      </c>
      <c r="Q408" s="14" t="s">
        <v>145</v>
      </c>
      <c r="R408" s="14" t="s">
        <v>35</v>
      </c>
      <c r="S408" s="34" t="s">
        <v>37</v>
      </c>
      <c r="T408" s="14" t="s">
        <v>39</v>
      </c>
      <c r="U408" s="14" t="s">
        <v>41</v>
      </c>
      <c r="V408" s="65"/>
      <c r="W408" s="65"/>
      <c r="X408" s="65"/>
      <c r="Y408" s="65"/>
      <c r="Z408" s="65"/>
      <c r="AA408" s="65"/>
      <c r="AB408" s="65"/>
      <c r="AC408" s="65"/>
      <c r="AD408" s="65"/>
      <c r="AE408" s="65"/>
    </row>
    <row r="409" spans="1:31" ht="13.5" thickBot="1" x14ac:dyDescent="0.25">
      <c r="A409" s="18"/>
      <c r="B409" s="18" t="s">
        <v>48</v>
      </c>
      <c r="C409" s="18" t="s">
        <v>27</v>
      </c>
      <c r="D409" s="18" t="s">
        <v>47</v>
      </c>
      <c r="E409" s="18" t="s">
        <v>29</v>
      </c>
      <c r="F409" s="18" t="s">
        <v>44</v>
      </c>
      <c r="G409" s="18" t="s">
        <v>45</v>
      </c>
      <c r="H409" s="21" t="s">
        <v>137</v>
      </c>
      <c r="I409" s="18" t="s">
        <v>139</v>
      </c>
      <c r="J409" s="18" t="s">
        <v>146</v>
      </c>
      <c r="K409" s="18" t="s">
        <v>136</v>
      </c>
      <c r="L409" s="18" t="s">
        <v>134</v>
      </c>
      <c r="M409" s="18" t="s">
        <v>160</v>
      </c>
      <c r="N409" s="18" t="s">
        <v>32</v>
      </c>
      <c r="O409" s="18" t="s">
        <v>34</v>
      </c>
      <c r="P409" s="18" t="s">
        <v>133</v>
      </c>
      <c r="Q409" s="42" t="s">
        <v>144</v>
      </c>
      <c r="R409" s="18" t="s">
        <v>36</v>
      </c>
      <c r="S409" s="35" t="s">
        <v>38</v>
      </c>
      <c r="T409" s="18" t="s">
        <v>40</v>
      </c>
      <c r="U409" s="18" t="s">
        <v>42</v>
      </c>
      <c r="V409" s="65"/>
      <c r="W409" s="65"/>
      <c r="X409" s="65"/>
      <c r="Y409" s="65"/>
      <c r="Z409" s="65"/>
      <c r="AA409" s="65"/>
      <c r="AB409" s="65"/>
      <c r="AC409" s="65"/>
      <c r="AD409" s="65"/>
      <c r="AE409" s="65"/>
    </row>
    <row r="410" spans="1:31" ht="13.5" thickBot="1" x14ac:dyDescent="0.25">
      <c r="A410" s="24" t="s">
        <v>132</v>
      </c>
      <c r="B410" s="25"/>
      <c r="C410" s="25"/>
      <c r="D410" s="25"/>
      <c r="E410" s="25"/>
      <c r="F410" s="25"/>
      <c r="G410" s="25"/>
      <c r="H410" s="47">
        <v>44800</v>
      </c>
      <c r="I410" s="47"/>
      <c r="J410" s="47"/>
      <c r="K410" s="25"/>
      <c r="L410" s="25"/>
      <c r="M410" s="25"/>
      <c r="N410" s="49"/>
      <c r="O410" s="25"/>
      <c r="P410" s="25"/>
      <c r="Q410" s="25"/>
      <c r="R410" s="25"/>
      <c r="S410" s="25"/>
      <c r="T410" s="25"/>
      <c r="U410" s="48">
        <f>H410+J410+N410+O410+Q410</f>
        <v>44800</v>
      </c>
      <c r="V410" s="65"/>
      <c r="W410" s="65"/>
      <c r="X410" s="65"/>
      <c r="Y410" s="65"/>
      <c r="Z410" s="65"/>
      <c r="AA410" s="65"/>
      <c r="AB410" s="65"/>
      <c r="AC410" s="65"/>
      <c r="AD410" s="65"/>
      <c r="AE410" s="65"/>
    </row>
    <row r="411" spans="1:31" x14ac:dyDescent="0.2">
      <c r="V411" s="65"/>
      <c r="W411" s="65"/>
      <c r="X411" s="65"/>
      <c r="Y411" s="65"/>
      <c r="Z411" s="65"/>
      <c r="AA411" s="65"/>
      <c r="AB411" s="65"/>
      <c r="AC411" s="65"/>
      <c r="AD411" s="65"/>
      <c r="AE411" s="65"/>
    </row>
    <row r="412" spans="1:31" ht="18.75" x14ac:dyDescent="0.3">
      <c r="A412" s="33" t="s">
        <v>142</v>
      </c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V412" s="65"/>
      <c r="W412" s="65"/>
      <c r="X412" s="65"/>
      <c r="Y412" s="65"/>
      <c r="Z412" s="65"/>
      <c r="AA412" s="65"/>
      <c r="AB412" s="65"/>
      <c r="AC412" s="65"/>
      <c r="AD412" s="65"/>
      <c r="AE412" s="65"/>
    </row>
    <row r="413" spans="1:31" ht="13.5" x14ac:dyDescent="0.25">
      <c r="A413" s="59" t="s">
        <v>158</v>
      </c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65"/>
      <c r="W413" s="65"/>
      <c r="X413" s="65"/>
      <c r="Y413" s="65"/>
      <c r="Z413" s="65"/>
      <c r="AA413" s="65"/>
      <c r="AB413" s="65"/>
      <c r="AC413" s="65"/>
      <c r="AD413" s="65"/>
      <c r="AE413" s="65"/>
    </row>
    <row r="414" spans="1:31" ht="13.5" x14ac:dyDescent="0.25">
      <c r="A414" s="59" t="s">
        <v>156</v>
      </c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65"/>
      <c r="W414" s="65"/>
      <c r="X414" s="65"/>
      <c r="Y414" s="65"/>
      <c r="Z414" s="65"/>
      <c r="AA414" s="65"/>
      <c r="AB414" s="65"/>
      <c r="AC414" s="65"/>
      <c r="AD414" s="65"/>
      <c r="AE414" s="65"/>
    </row>
    <row r="415" spans="1:31" ht="13.5" x14ac:dyDescent="0.25">
      <c r="A415" s="59"/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79"/>
      <c r="V415" s="65"/>
      <c r="W415" s="65"/>
      <c r="X415" s="65"/>
      <c r="Y415" s="65"/>
      <c r="Z415" s="65"/>
      <c r="AA415" s="65"/>
      <c r="AB415" s="65"/>
      <c r="AC415" s="65"/>
      <c r="AD415" s="65"/>
      <c r="AE415" s="65"/>
    </row>
    <row r="416" spans="1:31" ht="18.75" x14ac:dyDescent="0.3">
      <c r="A416" s="94" t="s">
        <v>184</v>
      </c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V416" s="65"/>
      <c r="W416" s="65"/>
      <c r="X416" s="65"/>
      <c r="Y416" s="65"/>
      <c r="Z416" s="65"/>
      <c r="AA416" s="65"/>
      <c r="AB416" s="65"/>
      <c r="AC416" s="65"/>
      <c r="AD416" s="65"/>
      <c r="AE416" s="65"/>
    </row>
    <row r="417" spans="1:31" ht="18.75" x14ac:dyDescent="0.3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V417" s="65"/>
      <c r="W417" s="65"/>
      <c r="X417" s="65"/>
      <c r="Y417" s="65"/>
      <c r="Z417" s="65"/>
      <c r="AA417" s="65"/>
      <c r="AB417" s="65"/>
      <c r="AC417" s="65"/>
      <c r="AD417" s="65"/>
      <c r="AE417" s="65"/>
    </row>
    <row r="418" spans="1:31" ht="18.75" x14ac:dyDescent="0.3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V418" s="65"/>
      <c r="W418" s="65"/>
      <c r="X418" s="65"/>
      <c r="Y418" s="65"/>
      <c r="Z418" s="65"/>
      <c r="AA418" s="65"/>
      <c r="AB418" s="65"/>
      <c r="AC418" s="65"/>
      <c r="AD418" s="65"/>
      <c r="AE418" s="65"/>
    </row>
    <row r="419" spans="1:31" ht="18.75" x14ac:dyDescent="0.3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V419" s="65"/>
      <c r="W419" s="65"/>
      <c r="X419" s="65"/>
      <c r="Y419" s="65"/>
      <c r="Z419" s="65"/>
      <c r="AA419" s="65"/>
      <c r="AB419" s="65"/>
      <c r="AC419" s="65"/>
      <c r="AD419" s="65"/>
      <c r="AE419" s="65"/>
    </row>
    <row r="420" spans="1:31" ht="18.75" x14ac:dyDescent="0.3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V420" s="65"/>
      <c r="W420" s="65"/>
      <c r="X420" s="65"/>
      <c r="Y420" s="65"/>
      <c r="Z420" s="65"/>
      <c r="AA420" s="65"/>
      <c r="AB420" s="65"/>
      <c r="AC420" s="65"/>
      <c r="AD420" s="65"/>
      <c r="AE420" s="65"/>
    </row>
    <row r="421" spans="1:31" x14ac:dyDescent="0.2">
      <c r="V421" s="65"/>
      <c r="W421" s="65"/>
      <c r="X421" s="65"/>
      <c r="Y421" s="65"/>
      <c r="Z421" s="65"/>
      <c r="AA421" s="65"/>
      <c r="AB421" s="65"/>
      <c r="AC421" s="65"/>
      <c r="AD421" s="65"/>
      <c r="AE421" s="65"/>
    </row>
    <row r="422" spans="1:31" x14ac:dyDescent="0.2">
      <c r="V422" s="65"/>
      <c r="W422" s="65"/>
      <c r="X422" s="65"/>
      <c r="Y422" s="65"/>
      <c r="Z422" s="65"/>
      <c r="AA422" s="65"/>
      <c r="AB422" s="65"/>
      <c r="AC422" s="65"/>
      <c r="AD422" s="65"/>
      <c r="AE422" s="65"/>
    </row>
    <row r="423" spans="1:31" x14ac:dyDescent="0.2">
      <c r="V423" s="65"/>
      <c r="W423" s="65"/>
      <c r="X423" s="65"/>
      <c r="Y423" s="65"/>
      <c r="Z423" s="65"/>
      <c r="AA423" s="65"/>
      <c r="AB423" s="65"/>
      <c r="AC423" s="65"/>
      <c r="AD423" s="65"/>
      <c r="AE423" s="65"/>
    </row>
    <row r="424" spans="1:31" x14ac:dyDescent="0.2">
      <c r="V424" s="65"/>
      <c r="W424" s="65"/>
      <c r="X424" s="65"/>
      <c r="Y424" s="65"/>
      <c r="Z424" s="65"/>
      <c r="AA424" s="65"/>
      <c r="AB424" s="65"/>
      <c r="AC424" s="65"/>
      <c r="AD424" s="65"/>
      <c r="AE424" s="65"/>
    </row>
    <row r="425" spans="1:31" x14ac:dyDescent="0.2">
      <c r="V425" s="65"/>
      <c r="W425" s="65"/>
      <c r="X425" s="65"/>
      <c r="Y425" s="65"/>
      <c r="Z425" s="65"/>
      <c r="AA425" s="65"/>
      <c r="AB425" s="65"/>
      <c r="AC425" s="65"/>
      <c r="AD425" s="65"/>
      <c r="AE425" s="65"/>
    </row>
    <row r="426" spans="1:31" x14ac:dyDescent="0.2">
      <c r="V426" s="65"/>
      <c r="W426" s="65"/>
      <c r="X426" s="65"/>
      <c r="Y426" s="65"/>
      <c r="Z426" s="65"/>
      <c r="AA426" s="65"/>
      <c r="AB426" s="65"/>
      <c r="AC426" s="65"/>
      <c r="AD426" s="65"/>
      <c r="AE426" s="65"/>
    </row>
    <row r="427" spans="1:31" x14ac:dyDescent="0.2">
      <c r="V427" s="65"/>
      <c r="W427" s="65"/>
      <c r="X427" s="65"/>
      <c r="Y427" s="65"/>
      <c r="Z427" s="65"/>
      <c r="AA427" s="65"/>
      <c r="AB427" s="65"/>
      <c r="AC427" s="65"/>
      <c r="AD427" s="65"/>
      <c r="AE427" s="65"/>
    </row>
    <row r="428" spans="1:31" x14ac:dyDescent="0.2">
      <c r="V428" s="65"/>
      <c r="W428" s="65"/>
      <c r="X428" s="65"/>
      <c r="Y428" s="65"/>
      <c r="Z428" s="65"/>
      <c r="AA428" s="65"/>
      <c r="AB428" s="65"/>
      <c r="AC428" s="65"/>
      <c r="AD428" s="65"/>
      <c r="AE428" s="65"/>
    </row>
    <row r="429" spans="1:31" x14ac:dyDescent="0.2">
      <c r="V429" s="65"/>
      <c r="W429" s="65"/>
      <c r="X429" s="65"/>
      <c r="Y429" s="65"/>
      <c r="Z429" s="65"/>
      <c r="AA429" s="65"/>
      <c r="AB429" s="65"/>
      <c r="AC429" s="65"/>
      <c r="AD429" s="65"/>
      <c r="AE429" s="65"/>
    </row>
    <row r="430" spans="1:31" x14ac:dyDescent="0.2">
      <c r="V430" s="65"/>
      <c r="W430" s="65"/>
      <c r="X430" s="65"/>
      <c r="Y430" s="65"/>
      <c r="Z430" s="65"/>
      <c r="AA430" s="65"/>
      <c r="AB430" s="65"/>
      <c r="AC430" s="65"/>
      <c r="AD430" s="65"/>
      <c r="AE430" s="65"/>
    </row>
    <row r="431" spans="1:31" x14ac:dyDescent="0.2">
      <c r="V431" s="65"/>
      <c r="W431" s="65"/>
      <c r="X431" s="65"/>
      <c r="Y431" s="65"/>
      <c r="Z431" s="65"/>
      <c r="AA431" s="65"/>
      <c r="AB431" s="65"/>
      <c r="AC431" s="65"/>
      <c r="AD431" s="65"/>
      <c r="AE431" s="65"/>
    </row>
    <row r="432" spans="1:31" x14ac:dyDescent="0.2">
      <c r="V432" s="65"/>
      <c r="W432" s="65"/>
      <c r="X432" s="65"/>
      <c r="Y432" s="65"/>
      <c r="Z432" s="65"/>
      <c r="AA432" s="65"/>
      <c r="AB432" s="65"/>
      <c r="AC432" s="65"/>
      <c r="AD432" s="65"/>
      <c r="AE432" s="65"/>
    </row>
    <row r="433" spans="1:31" x14ac:dyDescent="0.2">
      <c r="V433" s="65"/>
      <c r="W433" s="65"/>
      <c r="X433" s="65"/>
      <c r="Y433" s="65"/>
      <c r="Z433" s="65"/>
      <c r="AA433" s="65"/>
      <c r="AB433" s="65"/>
      <c r="AC433" s="65"/>
      <c r="AD433" s="65"/>
      <c r="AE433" s="65"/>
    </row>
    <row r="434" spans="1:31" x14ac:dyDescent="0.2">
      <c r="V434" s="65"/>
      <c r="W434" s="65"/>
      <c r="X434" s="65"/>
      <c r="Y434" s="65"/>
      <c r="Z434" s="65"/>
      <c r="AA434" s="65"/>
      <c r="AB434" s="65"/>
      <c r="AC434" s="65"/>
      <c r="AD434" s="65"/>
      <c r="AE434" s="65"/>
    </row>
    <row r="435" spans="1:31" x14ac:dyDescent="0.2">
      <c r="V435" s="65"/>
      <c r="W435" s="65"/>
      <c r="X435" s="65"/>
      <c r="Y435" s="65"/>
      <c r="Z435" s="65"/>
      <c r="AA435" s="65"/>
      <c r="AB435" s="65"/>
      <c r="AC435" s="65"/>
      <c r="AD435" s="65"/>
      <c r="AE435" s="65"/>
    </row>
    <row r="436" spans="1:31" x14ac:dyDescent="0.2">
      <c r="V436" s="65"/>
      <c r="W436" s="65"/>
      <c r="X436" s="65"/>
      <c r="Y436" s="65"/>
      <c r="Z436" s="65"/>
      <c r="AA436" s="65"/>
      <c r="AB436" s="65"/>
      <c r="AC436" s="65"/>
      <c r="AD436" s="65"/>
      <c r="AE436" s="65"/>
    </row>
    <row r="437" spans="1:31" x14ac:dyDescent="0.2">
      <c r="V437" s="65"/>
      <c r="W437" s="65"/>
      <c r="X437" s="65"/>
      <c r="Y437" s="65"/>
      <c r="Z437" s="65"/>
      <c r="AA437" s="65"/>
      <c r="AB437" s="65"/>
      <c r="AC437" s="65"/>
      <c r="AD437" s="65"/>
      <c r="AE437" s="65"/>
    </row>
    <row r="438" spans="1:31" x14ac:dyDescent="0.2">
      <c r="V438" s="65"/>
      <c r="W438" s="65"/>
      <c r="X438" s="65"/>
      <c r="Y438" s="65"/>
      <c r="Z438" s="65"/>
      <c r="AA438" s="65"/>
      <c r="AB438" s="65"/>
      <c r="AC438" s="65"/>
      <c r="AD438" s="65"/>
      <c r="AE438" s="65"/>
    </row>
    <row r="439" spans="1:31" x14ac:dyDescent="0.2">
      <c r="V439" s="65"/>
      <c r="W439" s="65"/>
      <c r="X439" s="65"/>
      <c r="Y439" s="65"/>
      <c r="Z439" s="65"/>
      <c r="AA439" s="65"/>
      <c r="AB439" s="65"/>
      <c r="AC439" s="65"/>
      <c r="AD439" s="65"/>
      <c r="AE439" s="65"/>
    </row>
    <row r="440" spans="1:31" x14ac:dyDescent="0.2">
      <c r="V440" s="65"/>
      <c r="W440" s="65"/>
      <c r="X440" s="65"/>
      <c r="Y440" s="65"/>
      <c r="Z440" s="65"/>
      <c r="AA440" s="65"/>
      <c r="AB440" s="65"/>
      <c r="AC440" s="65"/>
      <c r="AD440" s="65"/>
      <c r="AE440" s="65"/>
    </row>
    <row r="441" spans="1:31" x14ac:dyDescent="0.2">
      <c r="V441" s="65"/>
      <c r="W441" s="65"/>
      <c r="X441" s="65"/>
      <c r="Y441" s="65"/>
      <c r="Z441" s="65"/>
      <c r="AA441" s="65"/>
      <c r="AB441" s="65"/>
      <c r="AC441" s="65"/>
      <c r="AD441" s="65"/>
      <c r="AE441" s="65"/>
    </row>
    <row r="442" spans="1:31" x14ac:dyDescent="0.2">
      <c r="V442" s="65"/>
      <c r="W442" s="65"/>
      <c r="X442" s="65"/>
      <c r="Y442" s="65"/>
      <c r="Z442" s="65"/>
      <c r="AA442" s="65"/>
      <c r="AB442" s="65"/>
      <c r="AC442" s="65"/>
      <c r="AD442" s="65"/>
      <c r="AE442" s="65"/>
    </row>
    <row r="443" spans="1:31" x14ac:dyDescent="0.2">
      <c r="V443" s="65"/>
      <c r="W443" s="65"/>
      <c r="X443" s="65"/>
      <c r="Y443" s="65"/>
      <c r="Z443" s="65"/>
      <c r="AA443" s="65"/>
      <c r="AB443" s="65"/>
      <c r="AC443" s="65"/>
      <c r="AD443" s="65"/>
      <c r="AE443" s="65"/>
    </row>
    <row r="444" spans="1:31" x14ac:dyDescent="0.2">
      <c r="A444" s="6" t="s">
        <v>11</v>
      </c>
      <c r="V444" s="65"/>
      <c r="W444" s="65"/>
      <c r="X444" s="65"/>
      <c r="Y444" s="65"/>
      <c r="Z444" s="65"/>
      <c r="AA444" s="65"/>
      <c r="AB444" s="65"/>
      <c r="AC444" s="65"/>
      <c r="AD444" s="65"/>
      <c r="AE444" s="65"/>
    </row>
    <row r="445" spans="1:31" x14ac:dyDescent="0.2">
      <c r="A445" s="14" t="s">
        <v>0</v>
      </c>
      <c r="B445" s="14" t="s">
        <v>46</v>
      </c>
      <c r="C445" s="14" t="s">
        <v>26</v>
      </c>
      <c r="D445" s="14" t="s">
        <v>46</v>
      </c>
      <c r="E445" s="14" t="s">
        <v>28</v>
      </c>
      <c r="F445" s="14" t="s">
        <v>43</v>
      </c>
      <c r="G445" s="14" t="s">
        <v>43</v>
      </c>
      <c r="H445" s="14" t="s">
        <v>14</v>
      </c>
      <c r="I445" s="14" t="s">
        <v>138</v>
      </c>
      <c r="J445" s="14" t="s">
        <v>30</v>
      </c>
      <c r="K445" s="14" t="s">
        <v>135</v>
      </c>
      <c r="L445" s="14" t="s">
        <v>13</v>
      </c>
      <c r="M445" s="14" t="s">
        <v>13</v>
      </c>
      <c r="N445" s="14" t="s">
        <v>31</v>
      </c>
      <c r="O445" s="14" t="s">
        <v>33</v>
      </c>
      <c r="P445" s="14" t="s">
        <v>33</v>
      </c>
      <c r="Q445" s="14" t="s">
        <v>145</v>
      </c>
      <c r="R445" s="14" t="s">
        <v>35</v>
      </c>
      <c r="S445" s="34" t="s">
        <v>37</v>
      </c>
      <c r="T445" s="14" t="s">
        <v>39</v>
      </c>
      <c r="U445" s="14" t="s">
        <v>41</v>
      </c>
      <c r="V445" s="65"/>
      <c r="W445" s="65"/>
      <c r="X445" s="65"/>
      <c r="Y445" s="65"/>
      <c r="Z445" s="65"/>
      <c r="AA445" s="65"/>
      <c r="AB445" s="65"/>
      <c r="AC445" s="65"/>
      <c r="AD445" s="65"/>
      <c r="AE445" s="65"/>
    </row>
    <row r="446" spans="1:31" ht="13.5" thickBot="1" x14ac:dyDescent="0.25">
      <c r="A446" s="18"/>
      <c r="B446" s="18" t="s">
        <v>48</v>
      </c>
      <c r="C446" s="18" t="s">
        <v>27</v>
      </c>
      <c r="D446" s="18" t="s">
        <v>47</v>
      </c>
      <c r="E446" s="18" t="s">
        <v>29</v>
      </c>
      <c r="F446" s="18" t="s">
        <v>44</v>
      </c>
      <c r="G446" s="18" t="s">
        <v>45</v>
      </c>
      <c r="H446" s="21" t="s">
        <v>137</v>
      </c>
      <c r="I446" s="18" t="s">
        <v>139</v>
      </c>
      <c r="J446" s="18" t="s">
        <v>146</v>
      </c>
      <c r="K446" s="18" t="s">
        <v>136</v>
      </c>
      <c r="L446" s="18" t="s">
        <v>134</v>
      </c>
      <c r="M446" s="18" t="s">
        <v>160</v>
      </c>
      <c r="N446" s="18" t="s">
        <v>32</v>
      </c>
      <c r="O446" s="18" t="s">
        <v>34</v>
      </c>
      <c r="P446" s="18" t="s">
        <v>133</v>
      </c>
      <c r="Q446" s="42" t="s">
        <v>144</v>
      </c>
      <c r="R446" s="18" t="s">
        <v>36</v>
      </c>
      <c r="S446" s="35" t="s">
        <v>38</v>
      </c>
      <c r="T446" s="18" t="s">
        <v>40</v>
      </c>
      <c r="U446" s="18" t="s">
        <v>42</v>
      </c>
      <c r="V446" s="65"/>
      <c r="W446" s="65"/>
      <c r="X446" s="65"/>
      <c r="Y446" s="65"/>
      <c r="Z446" s="65"/>
      <c r="AA446" s="65"/>
      <c r="AB446" s="65"/>
      <c r="AC446" s="65"/>
      <c r="AD446" s="65"/>
      <c r="AE446" s="65"/>
    </row>
    <row r="447" spans="1:31" ht="13.5" thickBot="1" x14ac:dyDescent="0.25">
      <c r="A447" s="24" t="s">
        <v>11</v>
      </c>
      <c r="B447" s="25"/>
      <c r="C447" s="25"/>
      <c r="D447" s="25"/>
      <c r="E447" s="25"/>
      <c r="F447" s="25"/>
      <c r="G447" s="25"/>
      <c r="H447" s="27"/>
      <c r="I447" s="27"/>
      <c r="J447" s="47">
        <v>440000</v>
      </c>
      <c r="K447" s="25"/>
      <c r="L447" s="25"/>
      <c r="M447" s="25"/>
      <c r="N447" s="31"/>
      <c r="O447" s="25"/>
      <c r="P447" s="25"/>
      <c r="Q447" s="29"/>
      <c r="R447" s="25"/>
      <c r="S447" s="25"/>
      <c r="T447" s="25"/>
      <c r="U447" s="48">
        <f>H447+J447+N447+O447+Q447</f>
        <v>440000</v>
      </c>
      <c r="V447" s="65"/>
      <c r="W447" s="65"/>
      <c r="X447" s="65"/>
      <c r="Y447" s="65"/>
      <c r="Z447" s="65"/>
      <c r="AA447" s="65"/>
      <c r="AB447" s="65"/>
      <c r="AC447" s="65"/>
      <c r="AD447" s="65"/>
      <c r="AE447" s="65"/>
    </row>
    <row r="448" spans="1:31" x14ac:dyDescent="0.2">
      <c r="V448" s="65"/>
      <c r="W448" s="65"/>
      <c r="X448" s="65"/>
      <c r="Y448" s="65"/>
      <c r="Z448" s="65"/>
      <c r="AA448" s="65"/>
      <c r="AB448" s="65"/>
      <c r="AC448" s="65"/>
      <c r="AD448" s="65"/>
      <c r="AE448" s="65"/>
    </row>
    <row r="449" spans="1:31" ht="18.75" x14ac:dyDescent="0.3">
      <c r="A449" s="33" t="s">
        <v>171</v>
      </c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V449" s="65"/>
      <c r="W449" s="65"/>
      <c r="X449" s="65"/>
      <c r="Y449" s="65"/>
      <c r="Z449" s="65"/>
      <c r="AA449" s="65"/>
      <c r="AB449" s="65"/>
      <c r="AC449" s="65"/>
      <c r="AD449" s="65"/>
      <c r="AE449" s="65"/>
    </row>
    <row r="450" spans="1:31" x14ac:dyDescent="0.2">
      <c r="V450" s="65"/>
      <c r="W450" s="65"/>
      <c r="X450" s="65"/>
      <c r="Y450" s="65"/>
      <c r="Z450" s="65"/>
      <c r="AA450" s="65"/>
      <c r="AB450" s="65"/>
      <c r="AC450" s="65"/>
      <c r="AD450" s="65"/>
      <c r="AE450" s="65"/>
    </row>
    <row r="451" spans="1:31" ht="17.25" x14ac:dyDescent="0.3">
      <c r="A451" s="94" t="s">
        <v>184</v>
      </c>
      <c r="V451" s="65"/>
      <c r="W451" s="65"/>
      <c r="X451" s="65"/>
      <c r="Y451" s="65"/>
      <c r="Z451" s="65"/>
      <c r="AA451" s="65"/>
      <c r="AB451" s="65"/>
      <c r="AC451" s="65"/>
      <c r="AD451" s="65"/>
      <c r="AE451" s="65"/>
    </row>
    <row r="452" spans="1:31" x14ac:dyDescent="0.2">
      <c r="V452" s="65"/>
      <c r="W452" s="65"/>
      <c r="X452" s="65"/>
      <c r="Y452" s="65"/>
      <c r="Z452" s="65"/>
      <c r="AA452" s="65"/>
      <c r="AB452" s="65"/>
      <c r="AC452" s="65"/>
      <c r="AD452" s="65"/>
      <c r="AE452" s="65"/>
    </row>
    <row r="453" spans="1:31" x14ac:dyDescent="0.2">
      <c r="V453" s="65"/>
      <c r="W453" s="65"/>
      <c r="X453" s="65"/>
      <c r="Y453" s="65"/>
      <c r="Z453" s="65"/>
      <c r="AA453" s="65"/>
      <c r="AB453" s="65"/>
      <c r="AC453" s="65"/>
      <c r="AD453" s="65"/>
      <c r="AE453" s="65"/>
    </row>
    <row r="454" spans="1:31" x14ac:dyDescent="0.2">
      <c r="V454" s="65"/>
      <c r="W454" s="65"/>
      <c r="X454" s="65"/>
      <c r="Y454" s="65"/>
      <c r="Z454" s="65"/>
      <c r="AA454" s="65"/>
      <c r="AB454" s="65"/>
      <c r="AC454" s="65"/>
      <c r="AD454" s="65"/>
      <c r="AE454" s="65"/>
    </row>
    <row r="455" spans="1:31" x14ac:dyDescent="0.2">
      <c r="V455" s="65"/>
      <c r="W455" s="65"/>
      <c r="X455" s="65"/>
      <c r="Y455" s="65"/>
      <c r="Z455" s="65"/>
      <c r="AA455" s="65"/>
      <c r="AB455" s="65"/>
      <c r="AC455" s="65"/>
      <c r="AD455" s="65"/>
      <c r="AE455" s="65"/>
    </row>
    <row r="456" spans="1:31" x14ac:dyDescent="0.2">
      <c r="V456" s="65"/>
      <c r="W456" s="65"/>
      <c r="X456" s="65"/>
      <c r="Y456" s="65"/>
      <c r="Z456" s="65"/>
      <c r="AA456" s="65"/>
      <c r="AB456" s="65"/>
      <c r="AC456" s="65"/>
      <c r="AD456" s="65"/>
      <c r="AE456" s="65"/>
    </row>
    <row r="457" spans="1:31" x14ac:dyDescent="0.2">
      <c r="V457" s="65"/>
      <c r="W457" s="65"/>
      <c r="X457" s="65"/>
      <c r="Y457" s="65"/>
      <c r="Z457" s="65"/>
      <c r="AA457" s="65"/>
      <c r="AB457" s="65"/>
      <c r="AC457" s="65"/>
      <c r="AD457" s="65"/>
      <c r="AE457" s="65"/>
    </row>
    <row r="458" spans="1:31" x14ac:dyDescent="0.2">
      <c r="V458" s="65"/>
      <c r="W458" s="65"/>
      <c r="X458" s="65"/>
      <c r="Y458" s="65"/>
      <c r="Z458" s="65"/>
      <c r="AA458" s="65"/>
      <c r="AB458" s="65"/>
      <c r="AC458" s="65"/>
      <c r="AD458" s="65"/>
      <c r="AE458" s="65"/>
    </row>
    <row r="459" spans="1:31" x14ac:dyDescent="0.2">
      <c r="V459" s="65"/>
      <c r="W459" s="65"/>
      <c r="X459" s="65"/>
      <c r="Y459" s="65"/>
      <c r="Z459" s="65"/>
      <c r="AA459" s="65"/>
      <c r="AB459" s="65"/>
      <c r="AC459" s="65"/>
      <c r="AD459" s="65"/>
      <c r="AE459" s="65"/>
    </row>
    <row r="460" spans="1:31" x14ac:dyDescent="0.2">
      <c r="V460" s="65"/>
      <c r="W460" s="65"/>
      <c r="X460" s="65"/>
      <c r="Y460" s="65"/>
      <c r="Z460" s="65"/>
      <c r="AA460" s="65"/>
      <c r="AB460" s="65"/>
      <c r="AC460" s="65"/>
      <c r="AD460" s="65"/>
      <c r="AE460" s="65"/>
    </row>
    <row r="461" spans="1:31" x14ac:dyDescent="0.2">
      <c r="V461" s="65"/>
      <c r="W461" s="65"/>
      <c r="X461" s="65"/>
      <c r="Y461" s="65"/>
      <c r="Z461" s="65"/>
      <c r="AA461" s="65"/>
      <c r="AB461" s="65"/>
      <c r="AC461" s="65"/>
      <c r="AD461" s="65"/>
      <c r="AE461" s="65"/>
    </row>
    <row r="462" spans="1:31" x14ac:dyDescent="0.2">
      <c r="V462" s="65"/>
      <c r="W462" s="65"/>
      <c r="X462" s="65"/>
      <c r="Y462" s="65"/>
      <c r="Z462" s="65"/>
      <c r="AA462" s="65"/>
      <c r="AB462" s="65"/>
      <c r="AC462" s="65"/>
      <c r="AD462" s="65"/>
      <c r="AE462" s="65"/>
    </row>
    <row r="463" spans="1:31" x14ac:dyDescent="0.2">
      <c r="V463" s="65"/>
      <c r="W463" s="65"/>
      <c r="X463" s="65"/>
      <c r="Y463" s="65"/>
      <c r="Z463" s="65"/>
      <c r="AA463" s="65"/>
      <c r="AB463" s="65"/>
      <c r="AC463" s="65"/>
      <c r="AD463" s="65"/>
      <c r="AE463" s="65"/>
    </row>
    <row r="464" spans="1:31" x14ac:dyDescent="0.2">
      <c r="V464" s="65"/>
      <c r="W464" s="65"/>
      <c r="X464" s="65"/>
      <c r="Y464" s="65"/>
      <c r="Z464" s="65"/>
      <c r="AA464" s="65"/>
      <c r="AB464" s="65"/>
      <c r="AC464" s="65"/>
      <c r="AD464" s="65"/>
      <c r="AE464" s="65"/>
    </row>
    <row r="465" spans="22:31" x14ac:dyDescent="0.2">
      <c r="V465" s="65"/>
      <c r="W465" s="65"/>
      <c r="X465" s="65"/>
      <c r="Y465" s="65"/>
      <c r="Z465" s="65"/>
      <c r="AA465" s="65"/>
      <c r="AB465" s="65"/>
      <c r="AC465" s="65"/>
      <c r="AD465" s="65"/>
      <c r="AE465" s="65"/>
    </row>
    <row r="466" spans="22:31" x14ac:dyDescent="0.2">
      <c r="V466" s="65"/>
      <c r="W466" s="65"/>
      <c r="X466" s="65"/>
      <c r="Y466" s="65"/>
      <c r="Z466" s="65"/>
      <c r="AA466" s="65"/>
      <c r="AB466" s="65"/>
      <c r="AC466" s="65"/>
      <c r="AD466" s="65"/>
      <c r="AE466" s="65"/>
    </row>
    <row r="467" spans="22:31" x14ac:dyDescent="0.2">
      <c r="V467" s="65"/>
      <c r="W467" s="65"/>
      <c r="X467" s="65"/>
      <c r="Y467" s="65"/>
      <c r="Z467" s="65"/>
      <c r="AA467" s="65"/>
      <c r="AB467" s="65"/>
      <c r="AC467" s="65"/>
      <c r="AD467" s="65"/>
      <c r="AE467" s="65"/>
    </row>
    <row r="468" spans="22:31" x14ac:dyDescent="0.2">
      <c r="V468" s="65"/>
      <c r="W468" s="65"/>
      <c r="X468" s="65"/>
      <c r="Y468" s="65"/>
      <c r="Z468" s="65"/>
      <c r="AA468" s="65"/>
      <c r="AB468" s="65"/>
      <c r="AC468" s="65"/>
      <c r="AD468" s="65"/>
      <c r="AE468" s="65"/>
    </row>
    <row r="469" spans="22:31" x14ac:dyDescent="0.2">
      <c r="V469" s="65"/>
      <c r="W469" s="65"/>
      <c r="X469" s="65"/>
      <c r="Y469" s="65"/>
      <c r="Z469" s="65"/>
      <c r="AA469" s="65"/>
      <c r="AB469" s="65"/>
      <c r="AC469" s="65"/>
      <c r="AD469" s="65"/>
      <c r="AE469" s="65"/>
    </row>
    <row r="470" spans="22:31" x14ac:dyDescent="0.2">
      <c r="V470" s="65"/>
      <c r="W470" s="65"/>
      <c r="X470" s="65"/>
      <c r="Y470" s="65"/>
      <c r="Z470" s="65"/>
      <c r="AA470" s="65"/>
      <c r="AB470" s="65"/>
      <c r="AC470" s="65"/>
      <c r="AD470" s="65"/>
      <c r="AE470" s="65"/>
    </row>
    <row r="471" spans="22:31" x14ac:dyDescent="0.2">
      <c r="V471" s="65"/>
      <c r="W471" s="65"/>
      <c r="X471" s="65"/>
      <c r="Y471" s="65"/>
      <c r="Z471" s="65"/>
      <c r="AA471" s="65"/>
      <c r="AB471" s="65"/>
      <c r="AC471" s="65"/>
      <c r="AD471" s="65"/>
      <c r="AE471" s="65"/>
    </row>
    <row r="472" spans="22:31" x14ac:dyDescent="0.2">
      <c r="V472" s="65"/>
      <c r="W472" s="65"/>
      <c r="X472" s="65"/>
      <c r="Y472" s="65"/>
      <c r="Z472" s="65"/>
      <c r="AA472" s="65"/>
      <c r="AB472" s="65"/>
      <c r="AC472" s="65"/>
      <c r="AD472" s="65"/>
      <c r="AE472" s="65"/>
    </row>
    <row r="473" spans="22:31" x14ac:dyDescent="0.2">
      <c r="V473" s="65"/>
      <c r="W473" s="65"/>
      <c r="X473" s="65"/>
      <c r="Y473" s="65"/>
      <c r="Z473" s="65"/>
      <c r="AA473" s="65"/>
      <c r="AB473" s="65"/>
      <c r="AC473" s="65"/>
      <c r="AD473" s="65"/>
      <c r="AE473" s="65"/>
    </row>
    <row r="474" spans="22:31" x14ac:dyDescent="0.2">
      <c r="V474" s="65"/>
      <c r="W474" s="65"/>
      <c r="X474" s="65"/>
      <c r="Y474" s="65"/>
      <c r="Z474" s="65"/>
      <c r="AA474" s="65"/>
      <c r="AB474" s="65"/>
      <c r="AC474" s="65"/>
      <c r="AD474" s="65"/>
      <c r="AE474" s="65"/>
    </row>
    <row r="475" spans="22:31" x14ac:dyDescent="0.2">
      <c r="V475" s="65"/>
      <c r="W475" s="65"/>
      <c r="X475" s="65"/>
      <c r="Y475" s="65"/>
      <c r="Z475" s="65"/>
      <c r="AA475" s="65"/>
      <c r="AB475" s="65"/>
      <c r="AC475" s="65"/>
      <c r="AD475" s="65"/>
      <c r="AE475" s="65"/>
    </row>
    <row r="476" spans="22:31" x14ac:dyDescent="0.2">
      <c r="V476" s="65"/>
      <c r="W476" s="65"/>
      <c r="X476" s="65"/>
      <c r="Y476" s="65"/>
      <c r="Z476" s="65"/>
      <c r="AA476" s="65"/>
      <c r="AB476" s="65"/>
      <c r="AC476" s="65"/>
      <c r="AD476" s="65"/>
      <c r="AE476" s="65"/>
    </row>
    <row r="477" spans="22:31" x14ac:dyDescent="0.2">
      <c r="V477" s="65"/>
      <c r="W477" s="65"/>
      <c r="X477" s="65"/>
      <c r="Y477" s="65"/>
      <c r="Z477" s="65"/>
      <c r="AA477" s="65"/>
      <c r="AB477" s="65"/>
      <c r="AC477" s="65"/>
      <c r="AD477" s="65"/>
      <c r="AE477" s="65"/>
    </row>
    <row r="478" spans="22:31" x14ac:dyDescent="0.2">
      <c r="V478" s="65"/>
      <c r="W478" s="65"/>
      <c r="X478" s="65"/>
      <c r="Y478" s="65"/>
      <c r="Z478" s="65"/>
      <c r="AA478" s="65"/>
      <c r="AB478" s="65"/>
      <c r="AC478" s="65"/>
      <c r="AD478" s="65"/>
      <c r="AE478" s="65"/>
    </row>
    <row r="479" spans="22:31" x14ac:dyDescent="0.2">
      <c r="V479" s="65"/>
      <c r="W479" s="65"/>
      <c r="X479" s="65"/>
      <c r="Y479" s="65"/>
      <c r="Z479" s="65"/>
      <c r="AA479" s="65"/>
      <c r="AB479" s="65"/>
      <c r="AC479" s="65"/>
      <c r="AD479" s="65"/>
      <c r="AE479" s="65"/>
    </row>
    <row r="480" spans="22:31" x14ac:dyDescent="0.2">
      <c r="V480" s="65"/>
      <c r="W480" s="65"/>
      <c r="X480" s="65"/>
      <c r="Y480" s="65"/>
      <c r="Z480" s="65"/>
      <c r="AA480" s="65"/>
      <c r="AB480" s="65"/>
      <c r="AC480" s="65"/>
      <c r="AD480" s="65"/>
      <c r="AE480" s="65"/>
    </row>
    <row r="481" spans="1:31" x14ac:dyDescent="0.2">
      <c r="V481" s="65"/>
      <c r="W481" s="65"/>
      <c r="X481" s="65"/>
      <c r="Y481" s="65"/>
      <c r="Z481" s="65"/>
      <c r="AA481" s="65"/>
      <c r="AB481" s="65"/>
      <c r="AC481" s="65"/>
      <c r="AD481" s="65"/>
      <c r="AE481" s="65"/>
    </row>
    <row r="482" spans="1:31" x14ac:dyDescent="0.2">
      <c r="V482" s="65"/>
      <c r="W482" s="65"/>
      <c r="X482" s="65"/>
      <c r="Y482" s="65"/>
      <c r="Z482" s="65"/>
      <c r="AA482" s="65"/>
      <c r="AB482" s="65"/>
      <c r="AC482" s="65"/>
      <c r="AD482" s="65"/>
      <c r="AE482" s="65"/>
    </row>
    <row r="483" spans="1:31" x14ac:dyDescent="0.2">
      <c r="A483" s="79" t="s">
        <v>168</v>
      </c>
      <c r="V483" s="65"/>
      <c r="W483" s="65"/>
      <c r="X483" s="65"/>
      <c r="Y483" s="65"/>
      <c r="Z483" s="65"/>
      <c r="AA483" s="65"/>
      <c r="AB483" s="65"/>
      <c r="AC483" s="65"/>
      <c r="AD483" s="65"/>
      <c r="AE483" s="65"/>
    </row>
    <row r="484" spans="1:31" x14ac:dyDescent="0.2">
      <c r="A484" s="14" t="s">
        <v>0</v>
      </c>
      <c r="B484" s="14" t="s">
        <v>46</v>
      </c>
      <c r="C484" s="14" t="s">
        <v>26</v>
      </c>
      <c r="D484" s="14" t="s">
        <v>46</v>
      </c>
      <c r="E484" s="14" t="s">
        <v>28</v>
      </c>
      <c r="F484" s="14" t="s">
        <v>43</v>
      </c>
      <c r="G484" s="14" t="s">
        <v>43</v>
      </c>
      <c r="H484" s="14" t="s">
        <v>14</v>
      </c>
      <c r="I484" s="14" t="s">
        <v>138</v>
      </c>
      <c r="J484" s="14" t="s">
        <v>30</v>
      </c>
      <c r="K484" s="14" t="s">
        <v>135</v>
      </c>
      <c r="L484" s="14" t="s">
        <v>13</v>
      </c>
      <c r="M484" s="14" t="s">
        <v>13</v>
      </c>
      <c r="N484" s="14" t="s">
        <v>31</v>
      </c>
      <c r="O484" s="14" t="s">
        <v>33</v>
      </c>
      <c r="P484" s="14" t="s">
        <v>33</v>
      </c>
      <c r="Q484" s="14" t="s">
        <v>161</v>
      </c>
      <c r="R484" s="14" t="s">
        <v>162</v>
      </c>
      <c r="S484" s="34" t="s">
        <v>37</v>
      </c>
      <c r="T484" s="14" t="s">
        <v>39</v>
      </c>
      <c r="U484" s="14" t="s">
        <v>41</v>
      </c>
      <c r="V484" s="65"/>
      <c r="W484" s="65"/>
      <c r="X484" s="65"/>
      <c r="Y484" s="65"/>
      <c r="Z484" s="65"/>
      <c r="AA484" s="65"/>
      <c r="AB484" s="65"/>
      <c r="AC484" s="65"/>
      <c r="AD484" s="65"/>
      <c r="AE484" s="65"/>
    </row>
    <row r="485" spans="1:31" ht="13.5" thickBot="1" x14ac:dyDescent="0.25">
      <c r="A485" s="15"/>
      <c r="B485" s="18" t="s">
        <v>48</v>
      </c>
      <c r="C485" s="18" t="s">
        <v>27</v>
      </c>
      <c r="D485" s="18" t="s">
        <v>47</v>
      </c>
      <c r="E485" s="18" t="s">
        <v>29</v>
      </c>
      <c r="F485" s="18" t="s">
        <v>44</v>
      </c>
      <c r="G485" s="18" t="s">
        <v>45</v>
      </c>
      <c r="H485" s="21" t="s">
        <v>137</v>
      </c>
      <c r="I485" s="18" t="s">
        <v>139</v>
      </c>
      <c r="J485" s="18" t="s">
        <v>146</v>
      </c>
      <c r="K485" s="18" t="s">
        <v>136</v>
      </c>
      <c r="L485" s="18" t="s">
        <v>134</v>
      </c>
      <c r="M485" s="18" t="s">
        <v>160</v>
      </c>
      <c r="N485" s="18" t="s">
        <v>32</v>
      </c>
      <c r="O485" s="18" t="s">
        <v>34</v>
      </c>
      <c r="P485" s="18" t="s">
        <v>133</v>
      </c>
      <c r="Q485" s="42"/>
      <c r="R485" s="18" t="s">
        <v>173</v>
      </c>
      <c r="S485" s="35" t="s">
        <v>38</v>
      </c>
      <c r="T485" s="18" t="s">
        <v>40</v>
      </c>
      <c r="U485" s="18" t="s">
        <v>42</v>
      </c>
      <c r="V485" s="65"/>
      <c r="W485" s="65"/>
      <c r="X485" s="65"/>
      <c r="Y485" s="65"/>
      <c r="Z485" s="65"/>
      <c r="AA485" s="65"/>
      <c r="AB485" s="65"/>
      <c r="AC485" s="65"/>
      <c r="AD485" s="65"/>
      <c r="AE485" s="65"/>
    </row>
    <row r="486" spans="1:31" ht="13.5" thickBot="1" x14ac:dyDescent="0.25">
      <c r="A486" s="24" t="s">
        <v>169</v>
      </c>
      <c r="B486" s="25"/>
      <c r="C486" s="25"/>
      <c r="D486" s="25"/>
      <c r="E486" s="25"/>
      <c r="F486" s="25"/>
      <c r="G486" s="27"/>
      <c r="H486" s="27">
        <f>H487+H488</f>
        <v>4000000</v>
      </c>
      <c r="I486" s="27"/>
      <c r="J486" s="27">
        <f>J488</f>
        <v>390000</v>
      </c>
      <c r="K486" s="27"/>
      <c r="L486" s="27">
        <f>L487+L488</f>
        <v>300000</v>
      </c>
      <c r="M486" s="27">
        <f>M487+M488</f>
        <v>1202240</v>
      </c>
      <c r="N486" s="27"/>
      <c r="O486" s="27">
        <f>O487+O488</f>
        <v>194460</v>
      </c>
      <c r="P486" s="27">
        <f>P487+P488</f>
        <v>7000000</v>
      </c>
      <c r="Q486" s="27">
        <f>Q487+Q488</f>
        <v>400000</v>
      </c>
      <c r="R486" s="25"/>
      <c r="S486" s="25"/>
      <c r="T486" s="25"/>
      <c r="U486" s="78">
        <f>H486+I486+J486+K486+L486+M486+N486+O486+P486+Q486+R486</f>
        <v>13486700</v>
      </c>
      <c r="V486" s="65"/>
      <c r="W486" s="65"/>
      <c r="X486" s="65"/>
      <c r="Y486" s="65"/>
      <c r="Z486" s="65"/>
      <c r="AA486" s="65"/>
      <c r="AB486" s="65"/>
      <c r="AC486" s="65"/>
      <c r="AD486" s="65"/>
      <c r="AE486" s="65"/>
    </row>
    <row r="487" spans="1:31" x14ac:dyDescent="0.2">
      <c r="A487" s="19" t="s">
        <v>168</v>
      </c>
      <c r="B487" s="19"/>
      <c r="C487" s="19"/>
      <c r="D487" s="19"/>
      <c r="E487" s="19"/>
      <c r="F487" s="19"/>
      <c r="G487" s="19"/>
      <c r="H487" s="22"/>
      <c r="I487" s="36"/>
      <c r="J487" s="19"/>
      <c r="K487" s="19"/>
      <c r="L487" s="19"/>
      <c r="M487" s="19"/>
      <c r="N487" s="23"/>
      <c r="O487" s="19"/>
      <c r="P487" s="19"/>
      <c r="Q487" s="19">
        <v>400000</v>
      </c>
      <c r="R487" s="19"/>
      <c r="S487" s="19"/>
      <c r="T487" s="19"/>
      <c r="U487" s="19"/>
      <c r="V487" s="65"/>
      <c r="W487" s="65"/>
      <c r="X487" s="65"/>
      <c r="Y487" s="65"/>
      <c r="Z487" s="65"/>
      <c r="AA487" s="65"/>
      <c r="AB487" s="65"/>
      <c r="AC487" s="65"/>
      <c r="AD487" s="65"/>
      <c r="AE487" s="65"/>
    </row>
    <row r="488" spans="1:31" x14ac:dyDescent="0.2">
      <c r="A488" s="4" t="s">
        <v>170</v>
      </c>
      <c r="B488" s="4"/>
      <c r="C488" s="4"/>
      <c r="D488" s="4"/>
      <c r="E488" s="4"/>
      <c r="F488" s="4"/>
      <c r="G488" s="4"/>
      <c r="H488" s="4">
        <v>4000000</v>
      </c>
      <c r="I488" s="4"/>
      <c r="J488" s="4">
        <v>390000</v>
      </c>
      <c r="K488" s="4"/>
      <c r="L488" s="4">
        <v>300000</v>
      </c>
      <c r="M488" s="4">
        <v>1202240</v>
      </c>
      <c r="N488" s="4"/>
      <c r="O488" s="4">
        <v>194460</v>
      </c>
      <c r="P488" s="4">
        <v>7000000</v>
      </c>
      <c r="Q488" s="4"/>
      <c r="R488" s="4"/>
      <c r="S488" s="4"/>
      <c r="T488" s="4"/>
      <c r="U488" s="4"/>
      <c r="V488" s="65"/>
      <c r="W488" s="65"/>
      <c r="X488" s="65"/>
      <c r="Y488" s="65"/>
      <c r="Z488" s="65"/>
      <c r="AA488" s="65"/>
      <c r="AB488" s="65"/>
      <c r="AC488" s="65"/>
      <c r="AD488" s="65"/>
      <c r="AE488" s="65"/>
    </row>
    <row r="489" spans="1:31" ht="18.75" x14ac:dyDescent="0.3">
      <c r="A489" s="33" t="s">
        <v>172</v>
      </c>
      <c r="B489" s="33"/>
      <c r="C489" s="33"/>
      <c r="D489" s="33"/>
      <c r="E489" s="33"/>
      <c r="F489" s="33"/>
      <c r="G489" s="33"/>
      <c r="H489" s="33"/>
      <c r="I489" s="33"/>
      <c r="J489" s="59"/>
      <c r="K489" s="59"/>
      <c r="V489" s="65"/>
      <c r="W489" s="65"/>
      <c r="X489" s="65"/>
      <c r="Y489" s="65"/>
      <c r="Z489" s="65"/>
      <c r="AA489" s="65"/>
      <c r="AB489" s="65"/>
      <c r="AC489" s="65"/>
      <c r="AD489" s="65"/>
      <c r="AE489" s="65"/>
    </row>
    <row r="490" spans="1:31" x14ac:dyDescent="0.2">
      <c r="V490" s="65"/>
      <c r="W490" s="65"/>
      <c r="X490" s="65"/>
      <c r="Y490" s="65"/>
      <c r="Z490" s="65"/>
      <c r="AA490" s="65"/>
      <c r="AB490" s="65"/>
      <c r="AC490" s="65"/>
      <c r="AD490" s="65"/>
      <c r="AE490" s="65"/>
    </row>
    <row r="491" spans="1:31" x14ac:dyDescent="0.2">
      <c r="V491" s="65"/>
      <c r="W491" s="65"/>
      <c r="X491" s="65"/>
      <c r="Y491" s="65"/>
      <c r="Z491" s="65"/>
      <c r="AA491" s="65"/>
      <c r="AB491" s="65"/>
      <c r="AC491" s="65"/>
      <c r="AD491" s="65"/>
      <c r="AE491" s="65"/>
    </row>
    <row r="492" spans="1:31" ht="17.25" x14ac:dyDescent="0.3">
      <c r="A492" s="94" t="s">
        <v>184</v>
      </c>
      <c r="V492" s="65"/>
      <c r="W492" s="65"/>
      <c r="X492" s="65"/>
      <c r="Y492" s="65"/>
      <c r="Z492" s="65"/>
      <c r="AA492" s="65"/>
      <c r="AB492" s="65"/>
      <c r="AC492" s="65"/>
      <c r="AD492" s="65"/>
      <c r="AE492" s="65"/>
    </row>
    <row r="493" spans="1:31" x14ac:dyDescent="0.2">
      <c r="V493" s="65"/>
      <c r="W493" s="65"/>
      <c r="X493" s="65"/>
      <c r="Y493" s="65"/>
      <c r="Z493" s="65"/>
      <c r="AA493" s="65"/>
      <c r="AB493" s="65"/>
      <c r="AC493" s="65"/>
      <c r="AD493" s="65"/>
      <c r="AE493" s="65"/>
    </row>
    <row r="494" spans="1:31" x14ac:dyDescent="0.2">
      <c r="V494" s="65"/>
      <c r="W494" s="65"/>
      <c r="X494" s="65"/>
      <c r="Y494" s="65"/>
      <c r="Z494" s="65"/>
      <c r="AA494" s="65"/>
      <c r="AB494" s="65"/>
      <c r="AC494" s="65"/>
      <c r="AD494" s="65"/>
      <c r="AE494" s="65"/>
    </row>
    <row r="495" spans="1:31" x14ac:dyDescent="0.2">
      <c r="V495" s="65"/>
      <c r="W495" s="65"/>
      <c r="X495" s="65"/>
      <c r="Y495" s="65"/>
      <c r="Z495" s="65"/>
      <c r="AA495" s="65"/>
      <c r="AB495" s="65"/>
      <c r="AC495" s="65"/>
      <c r="AD495" s="65"/>
      <c r="AE495" s="65"/>
    </row>
    <row r="496" spans="1:31" x14ac:dyDescent="0.2">
      <c r="V496" s="65"/>
      <c r="W496" s="65"/>
      <c r="X496" s="65"/>
      <c r="Y496" s="65"/>
      <c r="Z496" s="65"/>
      <c r="AA496" s="65"/>
      <c r="AB496" s="65"/>
      <c r="AC496" s="65"/>
      <c r="AD496" s="65"/>
      <c r="AE496" s="65"/>
    </row>
    <row r="497" spans="22:31" x14ac:dyDescent="0.2">
      <c r="V497" s="65"/>
      <c r="W497" s="65"/>
      <c r="X497" s="65"/>
      <c r="Y497" s="65"/>
      <c r="Z497" s="65"/>
      <c r="AA497" s="65"/>
      <c r="AB497" s="65"/>
      <c r="AC497" s="65"/>
      <c r="AD497" s="65"/>
      <c r="AE497" s="65"/>
    </row>
    <row r="498" spans="22:31" x14ac:dyDescent="0.2">
      <c r="V498" s="65"/>
      <c r="W498" s="65"/>
      <c r="X498" s="65"/>
      <c r="Y498" s="65"/>
      <c r="Z498" s="65"/>
      <c r="AA498" s="65"/>
      <c r="AB498" s="65"/>
      <c r="AC498" s="65"/>
      <c r="AD498" s="65"/>
      <c r="AE498" s="65"/>
    </row>
    <row r="499" spans="22:31" x14ac:dyDescent="0.2">
      <c r="V499" s="65"/>
      <c r="W499" s="65"/>
      <c r="X499" s="65"/>
      <c r="Y499" s="65"/>
      <c r="Z499" s="65"/>
      <c r="AA499" s="65"/>
      <c r="AB499" s="65"/>
      <c r="AC499" s="65"/>
      <c r="AD499" s="65"/>
      <c r="AE499" s="65"/>
    </row>
    <row r="500" spans="22:31" x14ac:dyDescent="0.2">
      <c r="V500" s="65"/>
      <c r="W500" s="65"/>
      <c r="X500" s="65"/>
      <c r="Y500" s="65"/>
      <c r="Z500" s="65"/>
      <c r="AA500" s="65"/>
      <c r="AB500" s="65"/>
      <c r="AC500" s="65"/>
      <c r="AD500" s="65"/>
      <c r="AE500" s="65"/>
    </row>
    <row r="501" spans="22:31" x14ac:dyDescent="0.2">
      <c r="V501" s="65"/>
      <c r="W501" s="65"/>
      <c r="X501" s="65"/>
      <c r="Y501" s="65"/>
      <c r="Z501" s="65"/>
      <c r="AA501" s="65"/>
      <c r="AB501" s="65"/>
      <c r="AC501" s="65"/>
      <c r="AD501" s="65"/>
      <c r="AE501" s="65"/>
    </row>
    <row r="502" spans="22:31" x14ac:dyDescent="0.2">
      <c r="V502" s="65"/>
      <c r="W502" s="65"/>
      <c r="X502" s="65"/>
      <c r="Y502" s="65"/>
      <c r="Z502" s="65"/>
      <c r="AA502" s="65"/>
      <c r="AB502" s="65"/>
      <c r="AC502" s="65"/>
      <c r="AD502" s="65"/>
      <c r="AE502" s="65"/>
    </row>
    <row r="503" spans="22:31" x14ac:dyDescent="0.2">
      <c r="V503" s="65"/>
      <c r="W503" s="65"/>
      <c r="X503" s="65"/>
      <c r="Y503" s="65"/>
      <c r="Z503" s="65"/>
      <c r="AA503" s="65"/>
      <c r="AB503" s="65"/>
      <c r="AC503" s="65"/>
      <c r="AD503" s="65"/>
      <c r="AE503" s="65"/>
    </row>
    <row r="504" spans="22:31" x14ac:dyDescent="0.2">
      <c r="V504" s="65"/>
      <c r="W504" s="65"/>
      <c r="X504" s="65"/>
      <c r="Y504" s="65"/>
      <c r="Z504" s="65"/>
      <c r="AA504" s="65"/>
      <c r="AB504" s="65"/>
      <c r="AC504" s="65"/>
      <c r="AD504" s="65"/>
      <c r="AE504" s="65"/>
    </row>
    <row r="505" spans="22:31" x14ac:dyDescent="0.2">
      <c r="V505" s="65"/>
      <c r="W505" s="65"/>
      <c r="X505" s="65"/>
      <c r="Y505" s="65"/>
      <c r="Z505" s="65"/>
      <c r="AA505" s="65"/>
      <c r="AB505" s="65"/>
      <c r="AC505" s="65"/>
      <c r="AD505" s="65"/>
      <c r="AE505" s="65"/>
    </row>
    <row r="506" spans="22:31" x14ac:dyDescent="0.2">
      <c r="V506" s="65"/>
      <c r="W506" s="65"/>
      <c r="X506" s="65"/>
      <c r="Y506" s="65"/>
      <c r="Z506" s="65"/>
      <c r="AA506" s="65"/>
      <c r="AB506" s="65"/>
      <c r="AC506" s="65"/>
      <c r="AD506" s="65"/>
      <c r="AE506" s="65"/>
    </row>
    <row r="507" spans="22:31" x14ac:dyDescent="0.2">
      <c r="V507" s="65"/>
      <c r="W507" s="65"/>
      <c r="X507" s="65"/>
      <c r="Y507" s="65"/>
      <c r="Z507" s="65"/>
      <c r="AA507" s="65"/>
      <c r="AB507" s="65"/>
      <c r="AC507" s="65"/>
      <c r="AD507" s="65"/>
      <c r="AE507" s="65"/>
    </row>
    <row r="508" spans="22:31" x14ac:dyDescent="0.2">
      <c r="V508" s="65"/>
      <c r="W508" s="65"/>
      <c r="X508" s="65"/>
      <c r="Y508" s="65"/>
      <c r="Z508" s="65"/>
      <c r="AA508" s="65"/>
      <c r="AB508" s="65"/>
      <c r="AC508" s="65"/>
      <c r="AD508" s="65"/>
      <c r="AE508" s="65"/>
    </row>
    <row r="509" spans="22:31" x14ac:dyDescent="0.2">
      <c r="V509" s="65"/>
      <c r="W509" s="65"/>
      <c r="X509" s="65"/>
      <c r="Y509" s="65"/>
      <c r="Z509" s="65"/>
      <c r="AA509" s="65"/>
      <c r="AB509" s="65"/>
      <c r="AC509" s="65"/>
      <c r="AD509" s="65"/>
      <c r="AE509" s="65"/>
    </row>
    <row r="510" spans="22:31" x14ac:dyDescent="0.2">
      <c r="V510" s="65"/>
      <c r="W510" s="65"/>
      <c r="X510" s="65"/>
      <c r="Y510" s="65"/>
      <c r="Z510" s="65"/>
      <c r="AA510" s="65"/>
      <c r="AB510" s="65"/>
      <c r="AC510" s="65"/>
      <c r="AD510" s="65"/>
      <c r="AE510" s="65"/>
    </row>
    <row r="511" spans="22:31" x14ac:dyDescent="0.2">
      <c r="V511" s="65"/>
      <c r="W511" s="65"/>
      <c r="X511" s="65"/>
      <c r="Y511" s="65"/>
      <c r="Z511" s="65"/>
      <c r="AA511" s="65"/>
      <c r="AB511" s="65"/>
      <c r="AC511" s="65"/>
      <c r="AD511" s="65"/>
      <c r="AE511" s="65"/>
    </row>
    <row r="512" spans="22:31" x14ac:dyDescent="0.2">
      <c r="V512" s="65"/>
      <c r="W512" s="65"/>
      <c r="X512" s="65"/>
      <c r="Y512" s="65"/>
      <c r="Z512" s="65"/>
      <c r="AA512" s="65"/>
      <c r="AB512" s="65"/>
      <c r="AC512" s="65"/>
      <c r="AD512" s="65"/>
      <c r="AE512" s="65"/>
    </row>
    <row r="513" spans="22:31" x14ac:dyDescent="0.2">
      <c r="V513" s="65"/>
      <c r="W513" s="65"/>
      <c r="X513" s="65"/>
      <c r="Y513" s="65"/>
      <c r="Z513" s="65"/>
      <c r="AA513" s="65"/>
      <c r="AB513" s="65"/>
      <c r="AC513" s="65"/>
      <c r="AD513" s="65"/>
      <c r="AE513" s="65"/>
    </row>
    <row r="514" spans="22:31" x14ac:dyDescent="0.2">
      <c r="V514" s="65"/>
      <c r="W514" s="65"/>
      <c r="X514" s="65"/>
      <c r="Y514" s="65"/>
      <c r="Z514" s="65"/>
      <c r="AA514" s="65"/>
      <c r="AB514" s="65"/>
      <c r="AC514" s="65"/>
      <c r="AD514" s="65"/>
      <c r="AE514" s="65"/>
    </row>
    <row r="515" spans="22:31" x14ac:dyDescent="0.2">
      <c r="V515" s="65"/>
      <c r="W515" s="65"/>
      <c r="X515" s="65"/>
      <c r="Y515" s="65"/>
      <c r="Z515" s="65"/>
      <c r="AA515" s="65"/>
      <c r="AB515" s="65"/>
      <c r="AC515" s="65"/>
      <c r="AD515" s="65"/>
      <c r="AE515" s="65"/>
    </row>
  </sheetData>
  <mergeCells count="1">
    <mergeCell ref="A1:U1"/>
  </mergeCells>
  <pageMargins left="0.19685039370078741" right="0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511"/>
  <sheetViews>
    <sheetView zoomScale="130" zoomScaleNormal="130" workbookViewId="0">
      <selection activeCell="O9" sqref="O9"/>
    </sheetView>
  </sheetViews>
  <sheetFormatPr defaultRowHeight="12.75" x14ac:dyDescent="0.2"/>
  <cols>
    <col min="1" max="1" width="11" customWidth="1"/>
    <col min="2" max="2" width="4.140625" customWidth="1"/>
    <col min="3" max="3" width="5.7109375" customWidth="1"/>
    <col min="4" max="4" width="4" customWidth="1"/>
    <col min="5" max="5" width="5.28515625" customWidth="1"/>
    <col min="6" max="6" width="4" customWidth="1"/>
    <col min="7" max="7" width="4.28515625" customWidth="1"/>
    <col min="8" max="9" width="7.85546875" customWidth="1"/>
    <col min="10" max="10" width="8.140625" customWidth="1"/>
    <col min="11" max="11" width="8.7109375" customWidth="1"/>
    <col min="12" max="12" width="7.85546875" customWidth="1"/>
    <col min="13" max="13" width="7.5703125" customWidth="1"/>
    <col min="14" max="14" width="6.7109375" customWidth="1"/>
    <col min="15" max="15" width="7" customWidth="1"/>
    <col min="16" max="16" width="6.85546875" customWidth="1"/>
    <col min="17" max="17" width="7" customWidth="1"/>
    <col min="18" max="18" width="7.7109375" customWidth="1"/>
    <col min="19" max="19" width="7.5703125" customWidth="1"/>
    <col min="20" max="20" width="6" customWidth="1"/>
    <col min="21" max="21" width="8.5703125" customWidth="1"/>
    <col min="22" max="22" width="13.7109375" customWidth="1"/>
    <col min="23" max="23" width="11.5703125" customWidth="1"/>
    <col min="24" max="24" width="10.140625" bestFit="1" customWidth="1"/>
  </cols>
  <sheetData>
    <row r="1" spans="1:31" x14ac:dyDescent="0.2">
      <c r="A1" s="95" t="s">
        <v>185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</row>
    <row r="2" spans="1:31" ht="21" x14ac:dyDescent="0.35">
      <c r="A2" s="32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67">
        <f>H6+J7+J8+J9+J10+J11+J12+J13+J14+J15</f>
        <v>3494000</v>
      </c>
      <c r="W2" s="66">
        <f>V2-1700000</f>
        <v>1794000</v>
      </c>
      <c r="X2" s="65"/>
      <c r="Y2" s="65"/>
      <c r="Z2" s="65"/>
      <c r="AA2" s="65"/>
      <c r="AB2" s="65"/>
      <c r="AC2" s="65"/>
      <c r="AD2" s="65"/>
      <c r="AE2" s="65"/>
    </row>
    <row r="3" spans="1:31" x14ac:dyDescent="0.2">
      <c r="A3" s="16" t="s">
        <v>0</v>
      </c>
      <c r="B3" s="14" t="s">
        <v>46</v>
      </c>
      <c r="C3" s="14" t="s">
        <v>26</v>
      </c>
      <c r="D3" s="14" t="s">
        <v>46</v>
      </c>
      <c r="E3" s="14" t="s">
        <v>28</v>
      </c>
      <c r="F3" s="14" t="s">
        <v>43</v>
      </c>
      <c r="G3" s="14" t="s">
        <v>43</v>
      </c>
      <c r="H3" s="14" t="s">
        <v>14</v>
      </c>
      <c r="I3" s="14" t="s">
        <v>138</v>
      </c>
      <c r="J3" s="14" t="s">
        <v>30</v>
      </c>
      <c r="K3" s="14" t="s">
        <v>135</v>
      </c>
      <c r="L3" s="14" t="s">
        <v>13</v>
      </c>
      <c r="M3" s="14" t="s">
        <v>13</v>
      </c>
      <c r="N3" s="14" t="s">
        <v>31</v>
      </c>
      <c r="O3" s="14" t="s">
        <v>33</v>
      </c>
      <c r="P3" s="14" t="s">
        <v>33</v>
      </c>
      <c r="Q3" s="14" t="s">
        <v>161</v>
      </c>
      <c r="R3" s="14" t="s">
        <v>162</v>
      </c>
      <c r="S3" s="34" t="s">
        <v>37</v>
      </c>
      <c r="T3" s="14" t="s">
        <v>39</v>
      </c>
      <c r="U3" s="14" t="s">
        <v>41</v>
      </c>
      <c r="V3" s="65"/>
      <c r="W3" s="65"/>
      <c r="X3" s="65"/>
      <c r="Y3" s="65"/>
      <c r="Z3" s="65"/>
      <c r="AA3" s="65"/>
      <c r="AB3" s="65"/>
      <c r="AC3" s="65"/>
      <c r="AD3" s="65"/>
      <c r="AE3" s="65"/>
    </row>
    <row r="4" spans="1:31" ht="13.5" thickBot="1" x14ac:dyDescent="0.25">
      <c r="A4" s="17"/>
      <c r="B4" s="18" t="s">
        <v>48</v>
      </c>
      <c r="C4" s="18" t="s">
        <v>27</v>
      </c>
      <c r="D4" s="18" t="s">
        <v>47</v>
      </c>
      <c r="E4" s="18" t="s">
        <v>29</v>
      </c>
      <c r="F4" s="18" t="s">
        <v>44</v>
      </c>
      <c r="G4" s="18" t="s">
        <v>45</v>
      </c>
      <c r="H4" s="21" t="s">
        <v>137</v>
      </c>
      <c r="I4" s="18" t="s">
        <v>139</v>
      </c>
      <c r="J4" s="18" t="s">
        <v>146</v>
      </c>
      <c r="K4" s="18" t="s">
        <v>136</v>
      </c>
      <c r="L4" s="18" t="s">
        <v>134</v>
      </c>
      <c r="M4" s="18" t="s">
        <v>160</v>
      </c>
      <c r="N4" s="18" t="s">
        <v>32</v>
      </c>
      <c r="O4" s="18" t="s">
        <v>34</v>
      </c>
      <c r="P4" s="18" t="s">
        <v>133</v>
      </c>
      <c r="Q4" s="42" t="s">
        <v>168</v>
      </c>
      <c r="R4" s="18" t="s">
        <v>173</v>
      </c>
      <c r="S4" s="35" t="s">
        <v>38</v>
      </c>
      <c r="T4" s="18" t="s">
        <v>40</v>
      </c>
      <c r="U4" s="18" t="s">
        <v>42</v>
      </c>
      <c r="V4" s="65"/>
      <c r="W4" s="66"/>
      <c r="X4" s="66"/>
      <c r="Y4" s="65"/>
      <c r="Z4" s="65"/>
      <c r="AA4" s="65"/>
      <c r="AB4" s="65"/>
      <c r="AC4" s="65"/>
      <c r="AD4" s="65"/>
      <c r="AE4" s="65"/>
    </row>
    <row r="5" spans="1:31" ht="13.5" thickBot="1" x14ac:dyDescent="0.25">
      <c r="A5" s="20" t="s">
        <v>12</v>
      </c>
      <c r="B5" s="64"/>
      <c r="C5" s="64"/>
      <c r="D5" s="64"/>
      <c r="E5" s="64"/>
      <c r="F5" s="64"/>
      <c r="G5" s="64"/>
      <c r="H5" s="71">
        <f>H6+H7+H8+H9+H10+H11+H12+H13+H14+H15+H16+H17+H18</f>
        <v>41625600</v>
      </c>
      <c r="I5" s="77">
        <f>I6+I7+I8+I9+I10+I11+I12+I13+I14+I15+I16+I17+I18</f>
        <v>11616000</v>
      </c>
      <c r="J5" s="71">
        <f>J6+J7+J8+J9+J10+J11+J12+J13+J14+J15+J16+J17+J18</f>
        <v>1565000</v>
      </c>
      <c r="K5" s="71"/>
      <c r="L5" s="71">
        <f>L6+L7+L8+L9+L10+L11+L12+L13+L14+L15+L16+L17+L18</f>
        <v>150000</v>
      </c>
      <c r="M5" s="71">
        <f t="shared" ref="M5:Q5" si="0">M6+M7+M8+M9+M10+M11+M12+M13+M14+M15+M16+M17+M18</f>
        <v>1202240</v>
      </c>
      <c r="N5" s="71"/>
      <c r="O5" s="71">
        <f t="shared" si="0"/>
        <v>97230</v>
      </c>
      <c r="P5" s="71">
        <f t="shared" si="0"/>
        <v>3500000</v>
      </c>
      <c r="Q5" s="71">
        <f t="shared" si="0"/>
        <v>200000</v>
      </c>
      <c r="R5" s="71"/>
      <c r="S5" s="72"/>
      <c r="T5" s="72"/>
      <c r="U5" s="81">
        <f>SUM(B5:T5)</f>
        <v>59956070</v>
      </c>
      <c r="V5" s="80"/>
      <c r="W5" s="65"/>
      <c r="X5" s="65"/>
      <c r="Y5" s="65"/>
      <c r="Z5" s="65"/>
      <c r="AA5" s="65"/>
      <c r="AB5" s="65"/>
      <c r="AC5" s="65"/>
      <c r="AD5" s="65"/>
      <c r="AE5" s="65"/>
    </row>
    <row r="6" spans="1:31" x14ac:dyDescent="0.2">
      <c r="A6" s="2" t="s">
        <v>1</v>
      </c>
      <c r="B6" s="19"/>
      <c r="C6" s="19"/>
      <c r="D6" s="19"/>
      <c r="E6" s="19"/>
      <c r="F6" s="19"/>
      <c r="G6" s="19"/>
      <c r="H6" s="19">
        <f>H39</f>
        <v>2464000</v>
      </c>
      <c r="I6" s="19">
        <f>I39</f>
        <v>1920000</v>
      </c>
      <c r="J6" s="19">
        <f>J39</f>
        <v>120000</v>
      </c>
      <c r="K6" s="19"/>
      <c r="L6" s="19"/>
      <c r="M6" s="19"/>
      <c r="N6" s="19"/>
      <c r="O6" s="19"/>
      <c r="P6" s="19"/>
      <c r="Q6" s="36"/>
      <c r="R6" s="19"/>
      <c r="S6" s="19"/>
      <c r="T6" s="19"/>
      <c r="U6" s="93">
        <f t="shared" ref="U6:U17" si="1">H6+I6+J6+N6</f>
        <v>4504000</v>
      </c>
      <c r="V6" s="65"/>
      <c r="W6" s="74"/>
      <c r="X6" s="65"/>
      <c r="Y6" s="65"/>
      <c r="Z6" s="65"/>
      <c r="AA6" s="65"/>
      <c r="AB6" s="65"/>
      <c r="AC6" s="65"/>
      <c r="AD6" s="65"/>
      <c r="AE6" s="65"/>
    </row>
    <row r="7" spans="1:31" x14ac:dyDescent="0.2">
      <c r="A7" s="3" t="s">
        <v>2</v>
      </c>
      <c r="B7" s="4"/>
      <c r="C7" s="4"/>
      <c r="D7" s="4"/>
      <c r="E7" s="4"/>
      <c r="F7" s="4"/>
      <c r="G7" s="4"/>
      <c r="H7" s="4">
        <f>H76</f>
        <v>3511200</v>
      </c>
      <c r="I7" s="4">
        <f>I76</f>
        <v>1560000</v>
      </c>
      <c r="J7" s="19">
        <f>J76</f>
        <v>120000</v>
      </c>
      <c r="K7" s="4"/>
      <c r="L7" s="4"/>
      <c r="M7" s="4"/>
      <c r="N7" s="4"/>
      <c r="O7" s="4"/>
      <c r="P7" s="4"/>
      <c r="Q7" s="36"/>
      <c r="R7" s="4"/>
      <c r="S7" s="4"/>
      <c r="T7" s="4"/>
      <c r="U7" s="93">
        <f t="shared" si="1"/>
        <v>5191200</v>
      </c>
      <c r="V7" s="65"/>
      <c r="W7" s="74"/>
      <c r="X7" s="65"/>
      <c r="Y7" s="65"/>
      <c r="Z7" s="65"/>
      <c r="AA7" s="65"/>
      <c r="AB7" s="65"/>
      <c r="AC7" s="65"/>
      <c r="AD7" s="65"/>
      <c r="AE7" s="65"/>
    </row>
    <row r="8" spans="1:31" x14ac:dyDescent="0.2">
      <c r="A8" s="3" t="s">
        <v>3</v>
      </c>
      <c r="B8" s="4"/>
      <c r="C8" s="4"/>
      <c r="D8" s="4"/>
      <c r="E8" s="4"/>
      <c r="F8" s="4"/>
      <c r="G8" s="4"/>
      <c r="H8" s="4">
        <f>H113</f>
        <v>3180800</v>
      </c>
      <c r="I8" s="4">
        <f>I113</f>
        <v>1224000</v>
      </c>
      <c r="J8" s="19">
        <f>J113</f>
        <v>110000</v>
      </c>
      <c r="K8" s="4"/>
      <c r="L8" s="4"/>
      <c r="M8" s="4"/>
      <c r="N8" s="4"/>
      <c r="O8" s="4"/>
      <c r="P8" s="4"/>
      <c r="Q8" s="36"/>
      <c r="R8" s="4"/>
      <c r="S8" s="4"/>
      <c r="T8" s="9"/>
      <c r="U8" s="93">
        <f t="shared" si="1"/>
        <v>4514800</v>
      </c>
      <c r="V8" s="65"/>
      <c r="W8" s="74"/>
      <c r="X8" s="65"/>
      <c r="Y8" s="65"/>
      <c r="Z8" s="65"/>
      <c r="AA8" s="65"/>
      <c r="AB8" s="65"/>
      <c r="AC8" s="65"/>
      <c r="AD8" s="65"/>
      <c r="AE8" s="65"/>
    </row>
    <row r="9" spans="1:31" x14ac:dyDescent="0.2">
      <c r="A9" s="3" t="s">
        <v>4</v>
      </c>
      <c r="B9" s="4"/>
      <c r="C9" s="4"/>
      <c r="D9" s="4"/>
      <c r="E9" s="4"/>
      <c r="F9" s="4"/>
      <c r="G9" s="4"/>
      <c r="H9" s="4">
        <f>H149</f>
        <v>6227200</v>
      </c>
      <c r="I9" s="4">
        <f>I149</f>
        <v>744000</v>
      </c>
      <c r="J9" s="19">
        <f>J149</f>
        <v>110000</v>
      </c>
      <c r="K9" s="4"/>
      <c r="L9" s="4"/>
      <c r="M9" s="4"/>
      <c r="N9" s="4"/>
      <c r="O9" s="4"/>
      <c r="P9" s="4"/>
      <c r="Q9" s="36"/>
      <c r="R9" s="4"/>
      <c r="S9" s="4"/>
      <c r="T9" s="4"/>
      <c r="U9" s="93">
        <f t="shared" si="1"/>
        <v>7081200</v>
      </c>
      <c r="V9" s="65"/>
      <c r="W9" s="74"/>
      <c r="X9" s="65"/>
      <c r="Y9" s="65"/>
      <c r="Z9" s="65"/>
      <c r="AA9" s="65"/>
      <c r="AB9" s="65"/>
      <c r="AC9" s="65"/>
      <c r="AD9" s="65"/>
      <c r="AE9" s="65"/>
    </row>
    <row r="10" spans="1:31" x14ac:dyDescent="0.2">
      <c r="A10" s="3" t="s">
        <v>5</v>
      </c>
      <c r="B10" s="4"/>
      <c r="C10" s="4"/>
      <c r="D10" s="4"/>
      <c r="E10" s="4"/>
      <c r="F10" s="4"/>
      <c r="G10" s="4"/>
      <c r="H10" s="4">
        <f>H186</f>
        <v>6641600</v>
      </c>
      <c r="I10" s="4">
        <f>I186</f>
        <v>1080000</v>
      </c>
      <c r="J10" s="19">
        <f>J186</f>
        <v>150000</v>
      </c>
      <c r="K10" s="4"/>
      <c r="L10" s="4"/>
      <c r="M10" s="4"/>
      <c r="N10" s="4"/>
      <c r="O10" s="4"/>
      <c r="P10" s="4"/>
      <c r="Q10" s="36"/>
      <c r="R10" s="4"/>
      <c r="S10" s="4"/>
      <c r="T10" s="4"/>
      <c r="U10" s="93">
        <f t="shared" si="1"/>
        <v>7871600</v>
      </c>
      <c r="V10" s="65"/>
      <c r="W10" s="74"/>
      <c r="X10" s="65"/>
      <c r="Y10" s="65"/>
      <c r="Z10" s="65"/>
      <c r="AA10" s="65"/>
      <c r="AB10" s="65"/>
      <c r="AC10" s="65"/>
      <c r="AD10" s="65"/>
      <c r="AE10" s="65"/>
    </row>
    <row r="11" spans="1:31" x14ac:dyDescent="0.2">
      <c r="A11" s="3" t="s">
        <v>6</v>
      </c>
      <c r="B11" s="4"/>
      <c r="C11" s="4"/>
      <c r="D11" s="4"/>
      <c r="E11" s="4"/>
      <c r="F11" s="4"/>
      <c r="G11" s="4"/>
      <c r="H11" s="4">
        <f>H223</f>
        <v>4233600</v>
      </c>
      <c r="I11" s="4">
        <f>I223</f>
        <v>888000</v>
      </c>
      <c r="J11" s="19">
        <f>J223</f>
        <v>110000</v>
      </c>
      <c r="K11" s="4"/>
      <c r="L11" s="4"/>
      <c r="M11" s="4"/>
      <c r="N11" s="4"/>
      <c r="O11" s="4"/>
      <c r="P11" s="4"/>
      <c r="Q11" s="36"/>
      <c r="R11" s="4"/>
      <c r="S11" s="4"/>
      <c r="T11" s="4"/>
      <c r="U11" s="93">
        <f t="shared" si="1"/>
        <v>5231600</v>
      </c>
      <c r="V11" s="65"/>
      <c r="W11" s="74"/>
      <c r="X11" s="65"/>
      <c r="Y11" s="65"/>
      <c r="Z11" s="65"/>
      <c r="AA11" s="65"/>
      <c r="AB11" s="65"/>
      <c r="AC11" s="65"/>
      <c r="AD11" s="65"/>
      <c r="AE11" s="65"/>
    </row>
    <row r="12" spans="1:31" x14ac:dyDescent="0.2">
      <c r="A12" s="3" t="s">
        <v>7</v>
      </c>
      <c r="B12" s="4"/>
      <c r="C12" s="4"/>
      <c r="D12" s="4"/>
      <c r="E12" s="4"/>
      <c r="F12" s="4"/>
      <c r="G12" s="4"/>
      <c r="H12" s="4">
        <f>H259</f>
        <v>3903200</v>
      </c>
      <c r="I12" s="4">
        <f>I259</f>
        <v>744000</v>
      </c>
      <c r="J12" s="19">
        <f>J259</f>
        <v>120000</v>
      </c>
      <c r="K12" s="4"/>
      <c r="L12" s="4"/>
      <c r="M12" s="4"/>
      <c r="N12" s="4"/>
      <c r="O12" s="4"/>
      <c r="P12" s="4"/>
      <c r="Q12" s="36"/>
      <c r="R12" s="4"/>
      <c r="S12" s="4"/>
      <c r="T12" s="4"/>
      <c r="U12" s="93">
        <f t="shared" si="1"/>
        <v>4767200</v>
      </c>
      <c r="V12" s="65"/>
      <c r="W12" s="74"/>
      <c r="X12" s="65"/>
      <c r="Y12" s="65"/>
      <c r="Z12" s="65"/>
      <c r="AA12" s="65"/>
      <c r="AB12" s="65"/>
      <c r="AC12" s="65"/>
      <c r="AD12" s="65"/>
      <c r="AE12" s="65"/>
    </row>
    <row r="13" spans="1:31" x14ac:dyDescent="0.2">
      <c r="A13" s="3" t="s">
        <v>8</v>
      </c>
      <c r="B13" s="4"/>
      <c r="C13" s="4"/>
      <c r="D13" s="4"/>
      <c r="E13" s="4"/>
      <c r="F13" s="4"/>
      <c r="G13" s="4"/>
      <c r="H13" s="4">
        <f>H297</f>
        <v>2856000</v>
      </c>
      <c r="I13" s="4">
        <f>I297</f>
        <v>1152000</v>
      </c>
      <c r="J13" s="19">
        <f>J297</f>
        <v>110000</v>
      </c>
      <c r="K13" s="4"/>
      <c r="L13" s="4"/>
      <c r="M13" s="4"/>
      <c r="N13" s="4"/>
      <c r="O13" s="4"/>
      <c r="P13" s="4"/>
      <c r="Q13" s="36"/>
      <c r="R13" s="4"/>
      <c r="S13" s="4"/>
      <c r="T13" s="4"/>
      <c r="U13" s="93">
        <f t="shared" si="1"/>
        <v>4118000</v>
      </c>
      <c r="V13" s="65"/>
      <c r="W13" s="74"/>
      <c r="X13" s="65"/>
      <c r="Y13" s="65"/>
      <c r="Z13" s="65"/>
      <c r="AA13" s="65"/>
      <c r="AB13" s="65"/>
      <c r="AC13" s="65"/>
      <c r="AD13" s="65"/>
      <c r="AE13" s="65"/>
    </row>
    <row r="14" spans="1:31" x14ac:dyDescent="0.2">
      <c r="A14" s="3" t="s">
        <v>9</v>
      </c>
      <c r="B14" s="4"/>
      <c r="C14" s="4"/>
      <c r="D14" s="4"/>
      <c r="E14" s="4"/>
      <c r="F14" s="4"/>
      <c r="G14" s="4"/>
      <c r="H14" s="4">
        <f>H335</f>
        <v>3281600</v>
      </c>
      <c r="I14" s="4">
        <f>I335</f>
        <v>1080000</v>
      </c>
      <c r="J14" s="19">
        <f>J335</f>
        <v>100000</v>
      </c>
      <c r="K14" s="4"/>
      <c r="L14" s="4"/>
      <c r="M14" s="4"/>
      <c r="N14" s="4"/>
      <c r="O14" s="4"/>
      <c r="P14" s="4"/>
      <c r="Q14" s="36"/>
      <c r="R14" s="4"/>
      <c r="S14" s="4"/>
      <c r="T14" s="4"/>
      <c r="U14" s="93">
        <f t="shared" si="1"/>
        <v>4461600</v>
      </c>
      <c r="V14" s="65"/>
      <c r="W14" s="74"/>
      <c r="X14" s="65"/>
      <c r="Y14" s="65"/>
      <c r="Z14" s="65"/>
      <c r="AA14" s="65"/>
      <c r="AB14" s="65"/>
      <c r="AC14" s="65"/>
      <c r="AD14" s="65"/>
      <c r="AE14" s="65"/>
    </row>
    <row r="15" spans="1:31" x14ac:dyDescent="0.2">
      <c r="A15" s="3" t="s">
        <v>10</v>
      </c>
      <c r="B15" s="4"/>
      <c r="C15" s="4"/>
      <c r="D15" s="4"/>
      <c r="E15" s="4"/>
      <c r="F15" s="4"/>
      <c r="G15" s="4"/>
      <c r="H15" s="4">
        <f>H371</f>
        <v>3304000</v>
      </c>
      <c r="I15" s="4">
        <f>I371</f>
        <v>1224000</v>
      </c>
      <c r="J15" s="4">
        <f>J371</f>
        <v>100000</v>
      </c>
      <c r="K15" s="4"/>
      <c r="L15" s="4"/>
      <c r="M15" s="4"/>
      <c r="N15" s="4"/>
      <c r="O15" s="4"/>
      <c r="P15" s="4"/>
      <c r="Q15" s="37"/>
      <c r="R15" s="4"/>
      <c r="S15" s="4"/>
      <c r="T15" s="4"/>
      <c r="U15" s="93">
        <f t="shared" si="1"/>
        <v>4628000</v>
      </c>
      <c r="V15" s="65"/>
      <c r="W15" s="74"/>
      <c r="X15" s="65"/>
      <c r="Y15" s="65"/>
      <c r="Z15" s="65"/>
      <c r="AA15" s="65"/>
      <c r="AB15" s="65"/>
      <c r="AC15" s="65"/>
      <c r="AD15" s="65"/>
      <c r="AE15" s="65"/>
    </row>
    <row r="16" spans="1:31" x14ac:dyDescent="0.2">
      <c r="A16" s="3" t="s">
        <v>132</v>
      </c>
      <c r="B16" s="4"/>
      <c r="C16" s="4"/>
      <c r="D16" s="4"/>
      <c r="E16" s="4"/>
      <c r="F16" s="4"/>
      <c r="G16" s="4"/>
      <c r="H16" s="4">
        <f>H408</f>
        <v>22400</v>
      </c>
      <c r="I16" s="4">
        <f>I408</f>
        <v>0</v>
      </c>
      <c r="J16" s="4">
        <f>J408</f>
        <v>0</v>
      </c>
      <c r="K16" s="4"/>
      <c r="L16" s="4"/>
      <c r="M16" s="4"/>
      <c r="N16" s="4"/>
      <c r="O16" s="4"/>
      <c r="P16" s="4"/>
      <c r="Q16" s="37"/>
      <c r="R16" s="4"/>
      <c r="S16" s="4"/>
      <c r="T16" s="4"/>
      <c r="U16" s="83">
        <f t="shared" si="1"/>
        <v>22400</v>
      </c>
      <c r="V16" s="65"/>
      <c r="W16" s="75"/>
      <c r="X16" s="65"/>
      <c r="Y16" s="65"/>
      <c r="Z16" s="65"/>
      <c r="AA16" s="65"/>
      <c r="AB16" s="65"/>
      <c r="AC16" s="65"/>
      <c r="AD16" s="65"/>
      <c r="AE16" s="65"/>
    </row>
    <row r="17" spans="1:31" x14ac:dyDescent="0.2">
      <c r="A17" s="3" t="s">
        <v>11</v>
      </c>
      <c r="B17" s="4"/>
      <c r="C17" s="4"/>
      <c r="D17" s="4"/>
      <c r="E17" s="4"/>
      <c r="F17" s="4"/>
      <c r="G17" s="4"/>
      <c r="H17" s="4">
        <f>H444</f>
        <v>0</v>
      </c>
      <c r="I17" s="4">
        <f>I444</f>
        <v>0</v>
      </c>
      <c r="J17" s="4">
        <f>J444</f>
        <v>220000</v>
      </c>
      <c r="K17" s="4"/>
      <c r="L17" s="4"/>
      <c r="M17" s="4"/>
      <c r="N17" s="4"/>
      <c r="O17" s="4"/>
      <c r="P17" s="4"/>
      <c r="Q17" s="37"/>
      <c r="R17" s="4"/>
      <c r="S17" s="4"/>
      <c r="T17" s="4"/>
      <c r="U17" s="83">
        <f t="shared" si="1"/>
        <v>220000</v>
      </c>
      <c r="V17" s="65"/>
      <c r="W17" s="75"/>
      <c r="X17" s="65"/>
      <c r="Y17" s="65"/>
      <c r="Z17" s="65"/>
      <c r="AA17" s="65"/>
      <c r="AB17" s="65"/>
      <c r="AC17" s="65"/>
      <c r="AD17" s="65"/>
      <c r="AE17" s="65"/>
    </row>
    <row r="18" spans="1:31" s="63" customFormat="1" x14ac:dyDescent="0.2">
      <c r="A18" s="61" t="s">
        <v>143</v>
      </c>
      <c r="B18" s="41"/>
      <c r="C18" s="41"/>
      <c r="D18" s="41"/>
      <c r="E18" s="41"/>
      <c r="F18" s="41"/>
      <c r="G18" s="41"/>
      <c r="H18" s="41">
        <f>H482</f>
        <v>2000000</v>
      </c>
      <c r="I18" s="41">
        <f>I482</f>
        <v>0</v>
      </c>
      <c r="J18" s="41">
        <f>J482</f>
        <v>195000</v>
      </c>
      <c r="K18" s="41"/>
      <c r="L18" s="41">
        <f>L482</f>
        <v>150000</v>
      </c>
      <c r="M18" s="41">
        <v>1202240</v>
      </c>
      <c r="N18" s="62"/>
      <c r="O18" s="41">
        <v>97230</v>
      </c>
      <c r="P18" s="41">
        <f>P482</f>
        <v>3500000</v>
      </c>
      <c r="Q18" s="41">
        <f>Q482</f>
        <v>200000</v>
      </c>
      <c r="R18" s="41"/>
      <c r="S18" s="62"/>
      <c r="T18" s="62"/>
      <c r="U18" s="83">
        <f>SUM(H18:T18)</f>
        <v>7344470</v>
      </c>
      <c r="V18" s="69"/>
      <c r="W18" s="69"/>
      <c r="X18" s="69"/>
      <c r="Y18" s="69"/>
      <c r="Z18" s="69"/>
      <c r="AA18" s="69"/>
      <c r="AB18" s="69"/>
      <c r="AC18" s="69"/>
      <c r="AD18" s="69"/>
      <c r="AE18" s="69"/>
    </row>
    <row r="19" spans="1:31" ht="18.75" x14ac:dyDescent="0.3">
      <c r="A19" s="33" t="s">
        <v>151</v>
      </c>
      <c r="B19" s="33"/>
      <c r="C19" s="33"/>
      <c r="D19" s="33"/>
      <c r="E19" s="33"/>
      <c r="F19" s="33"/>
      <c r="G19" s="33"/>
      <c r="H19" s="44"/>
      <c r="I19" s="70"/>
      <c r="J19" s="33"/>
      <c r="K19" s="33"/>
      <c r="L19" s="33"/>
      <c r="M19" s="33"/>
      <c r="N19" s="44"/>
      <c r="O19" s="33"/>
      <c r="P19" s="33"/>
      <c r="Q19" s="33"/>
      <c r="R19" s="33"/>
      <c r="S19" s="33"/>
      <c r="T19" s="33"/>
      <c r="U19" s="43"/>
      <c r="V19" s="65"/>
      <c r="W19" s="65"/>
      <c r="X19" s="65"/>
      <c r="Y19" s="65"/>
      <c r="Z19" s="65"/>
      <c r="AA19" s="65"/>
      <c r="AB19" s="65"/>
      <c r="AC19" s="65"/>
      <c r="AD19" s="65"/>
      <c r="AE19" s="65"/>
    </row>
    <row r="20" spans="1:31" ht="14.25" x14ac:dyDescent="0.25">
      <c r="A20" s="50" t="s">
        <v>174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65"/>
      <c r="W20" s="65"/>
      <c r="X20" s="65"/>
      <c r="Y20" s="65"/>
      <c r="Z20" s="65"/>
      <c r="AA20" s="65"/>
      <c r="AB20" s="65"/>
      <c r="AC20" s="65"/>
      <c r="AD20" s="65"/>
      <c r="AE20" s="65"/>
    </row>
    <row r="21" spans="1:31" ht="19.5" customHeight="1" x14ac:dyDescent="0.25">
      <c r="A21" s="50" t="s">
        <v>177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65"/>
      <c r="W21" s="65"/>
      <c r="X21" s="65"/>
      <c r="Y21" s="65"/>
      <c r="Z21" s="65"/>
      <c r="AA21" s="65"/>
      <c r="AB21" s="65"/>
      <c r="AC21" s="65"/>
      <c r="AD21" s="65"/>
      <c r="AE21" s="65"/>
    </row>
    <row r="22" spans="1:31" ht="14.25" x14ac:dyDescent="0.25">
      <c r="A22" s="50" t="s">
        <v>175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65"/>
      <c r="W22" s="66"/>
      <c r="X22" s="65"/>
      <c r="Y22" s="65"/>
      <c r="Z22" s="65"/>
      <c r="AA22" s="65"/>
      <c r="AB22" s="65"/>
      <c r="AC22" s="65"/>
      <c r="AD22" s="65"/>
      <c r="AE22" s="65"/>
    </row>
    <row r="23" spans="1:31" ht="14.25" x14ac:dyDescent="0.25">
      <c r="A23" s="50" t="s">
        <v>178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65"/>
      <c r="W23" s="66"/>
      <c r="X23" s="65"/>
      <c r="Y23" s="65"/>
      <c r="Z23" s="65"/>
      <c r="AA23" s="65"/>
      <c r="AB23" s="65"/>
      <c r="AC23" s="65"/>
      <c r="AD23" s="65"/>
      <c r="AE23" s="65"/>
    </row>
    <row r="24" spans="1:31" ht="14.25" x14ac:dyDescent="0.25">
      <c r="A24" s="50" t="s">
        <v>180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65"/>
      <c r="W24" s="65"/>
      <c r="X24" s="65"/>
      <c r="Y24" s="65"/>
      <c r="Z24" s="65"/>
      <c r="AA24" s="65"/>
      <c r="AB24" s="65"/>
      <c r="AC24" s="65"/>
      <c r="AD24" s="65"/>
      <c r="AE24" s="65"/>
    </row>
    <row r="25" spans="1:31" ht="14.25" x14ac:dyDescent="0.25">
      <c r="A25" s="50" t="s">
        <v>179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65"/>
      <c r="W25" s="65"/>
      <c r="X25" s="65"/>
      <c r="Y25" s="65"/>
      <c r="Z25" s="65"/>
      <c r="AA25" s="65"/>
      <c r="AB25" s="65"/>
      <c r="AC25" s="65"/>
      <c r="AD25" s="65"/>
      <c r="AE25" s="65"/>
    </row>
    <row r="26" spans="1:31" ht="14.25" x14ac:dyDescent="0.25">
      <c r="A26" s="50" t="s">
        <v>176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65"/>
      <c r="W26" s="65"/>
      <c r="X26" s="65"/>
      <c r="Y26" s="65"/>
      <c r="Z26" s="65"/>
      <c r="AA26" s="65"/>
      <c r="AB26" s="65"/>
      <c r="AC26" s="65"/>
      <c r="AD26" s="65"/>
      <c r="AE26" s="65"/>
    </row>
    <row r="27" spans="1:31" ht="14.25" x14ac:dyDescent="0.25">
      <c r="A27" s="50" t="s">
        <v>182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65"/>
      <c r="W27" s="65"/>
      <c r="X27" s="65"/>
      <c r="Y27" s="65"/>
      <c r="Z27" s="65"/>
      <c r="AA27" s="65"/>
      <c r="AB27" s="65"/>
      <c r="AC27" s="65"/>
      <c r="AD27" s="65"/>
      <c r="AE27" s="65"/>
    </row>
    <row r="28" spans="1:31" ht="14.25" x14ac:dyDescent="0.25">
      <c r="A28" s="50" t="s">
        <v>181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65"/>
      <c r="W28" s="65"/>
      <c r="X28" s="65"/>
      <c r="Y28" s="65"/>
      <c r="Z28" s="65"/>
      <c r="AA28" s="65"/>
      <c r="AB28" s="65"/>
      <c r="AC28" s="65"/>
      <c r="AD28" s="65"/>
      <c r="AE28" s="65"/>
    </row>
    <row r="29" spans="1:31" ht="14.25" x14ac:dyDescent="0.25">
      <c r="A29" s="50" t="s">
        <v>166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65"/>
      <c r="W29" s="65"/>
      <c r="X29" s="65"/>
      <c r="Y29" s="65"/>
      <c r="Z29" s="65"/>
      <c r="AA29" s="65"/>
      <c r="AB29" s="65"/>
      <c r="AC29" s="65"/>
      <c r="AD29" s="65"/>
      <c r="AE29" s="65"/>
    </row>
    <row r="30" spans="1:31" ht="14.25" x14ac:dyDescent="0.25">
      <c r="A30" s="50" t="s">
        <v>167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65"/>
      <c r="W30" s="65"/>
      <c r="X30" s="65"/>
      <c r="Y30" s="65"/>
      <c r="Z30" s="65"/>
      <c r="AA30" s="65"/>
      <c r="AB30" s="65"/>
      <c r="AC30" s="65"/>
      <c r="AD30" s="65"/>
      <c r="AE30" s="65"/>
    </row>
    <row r="31" spans="1:31" ht="17.25" x14ac:dyDescent="0.2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68"/>
      <c r="W31" s="65"/>
      <c r="X31" s="65"/>
      <c r="Y31" s="65"/>
      <c r="Z31" s="65"/>
      <c r="AA31" s="65"/>
      <c r="AB31" s="65"/>
      <c r="AC31" s="65"/>
      <c r="AD31" s="65"/>
      <c r="AE31" s="65"/>
    </row>
    <row r="32" spans="1:31" ht="18" x14ac:dyDescent="0.3">
      <c r="A32" s="94" t="s">
        <v>184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68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7.25" x14ac:dyDescent="0.2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68"/>
      <c r="W33" s="65"/>
      <c r="X33" s="65"/>
      <c r="Y33" s="65"/>
      <c r="Z33" s="65"/>
      <c r="AA33" s="65"/>
      <c r="AB33" s="65"/>
      <c r="AC33" s="65"/>
      <c r="AD33" s="65"/>
      <c r="AE33" s="65"/>
    </row>
    <row r="34" spans="1:31" ht="17.25" x14ac:dyDescent="0.2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68"/>
      <c r="W34" s="65"/>
      <c r="X34" s="65"/>
      <c r="Y34" s="65"/>
      <c r="Z34" s="65"/>
      <c r="AA34" s="65"/>
      <c r="AB34" s="65"/>
      <c r="AC34" s="65"/>
      <c r="AD34" s="65"/>
      <c r="AE34" s="65"/>
    </row>
    <row r="35" spans="1:31" ht="15" customHeight="1" x14ac:dyDescent="0.2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0"/>
      <c r="T35" s="50"/>
      <c r="U35" s="50"/>
      <c r="V35" s="65"/>
      <c r="W35" s="65"/>
      <c r="X35" s="65"/>
      <c r="Y35" s="65"/>
      <c r="Z35" s="65"/>
      <c r="AA35" s="65"/>
      <c r="AB35" s="65"/>
      <c r="AC35" s="65"/>
      <c r="AD35" s="65"/>
      <c r="AE35" s="65"/>
    </row>
    <row r="36" spans="1:31" x14ac:dyDescent="0.2">
      <c r="A36" t="s">
        <v>1</v>
      </c>
      <c r="V36" s="65"/>
      <c r="W36" s="65"/>
      <c r="X36" s="65"/>
      <c r="Y36" s="65"/>
      <c r="Z36" s="65"/>
      <c r="AA36" s="65"/>
      <c r="AB36" s="65"/>
      <c r="AC36" s="65"/>
      <c r="AD36" s="65"/>
      <c r="AE36" s="65"/>
    </row>
    <row r="37" spans="1:31" x14ac:dyDescent="0.2">
      <c r="A37" s="14" t="s">
        <v>0</v>
      </c>
      <c r="B37" s="14" t="s">
        <v>46</v>
      </c>
      <c r="C37" s="14" t="s">
        <v>26</v>
      </c>
      <c r="D37" s="14" t="s">
        <v>46</v>
      </c>
      <c r="E37" s="14" t="s">
        <v>28</v>
      </c>
      <c r="F37" s="14" t="s">
        <v>43</v>
      </c>
      <c r="G37" s="14" t="s">
        <v>43</v>
      </c>
      <c r="H37" s="14" t="s">
        <v>14</v>
      </c>
      <c r="I37" s="14" t="s">
        <v>138</v>
      </c>
      <c r="J37" s="14" t="s">
        <v>30</v>
      </c>
      <c r="K37" s="14" t="s">
        <v>135</v>
      </c>
      <c r="L37" s="14" t="s">
        <v>13</v>
      </c>
      <c r="M37" s="14" t="s">
        <v>13</v>
      </c>
      <c r="N37" s="14" t="s">
        <v>31</v>
      </c>
      <c r="O37" s="14" t="s">
        <v>33</v>
      </c>
      <c r="P37" s="14" t="s">
        <v>33</v>
      </c>
      <c r="Q37" s="14" t="s">
        <v>145</v>
      </c>
      <c r="R37" s="14" t="s">
        <v>35</v>
      </c>
      <c r="S37" s="34" t="s">
        <v>37</v>
      </c>
      <c r="T37" s="14" t="s">
        <v>39</v>
      </c>
      <c r="U37" s="14" t="s">
        <v>41</v>
      </c>
      <c r="V37" s="65"/>
      <c r="W37" s="65"/>
      <c r="X37" s="65"/>
      <c r="Y37" s="65"/>
      <c r="Z37" s="65"/>
      <c r="AA37" s="65"/>
      <c r="AB37" s="65"/>
      <c r="AC37" s="65"/>
      <c r="AD37" s="65"/>
      <c r="AE37" s="65"/>
    </row>
    <row r="38" spans="1:31" ht="13.5" thickBot="1" x14ac:dyDescent="0.25">
      <c r="A38" s="18"/>
      <c r="B38" s="18" t="s">
        <v>48</v>
      </c>
      <c r="C38" s="18" t="s">
        <v>27</v>
      </c>
      <c r="D38" s="18" t="s">
        <v>47</v>
      </c>
      <c r="E38" s="18" t="s">
        <v>29</v>
      </c>
      <c r="F38" s="18" t="s">
        <v>44</v>
      </c>
      <c r="G38" s="18" t="s">
        <v>45</v>
      </c>
      <c r="H38" s="21" t="s">
        <v>137</v>
      </c>
      <c r="I38" s="18" t="s">
        <v>139</v>
      </c>
      <c r="J38" s="18" t="s">
        <v>146</v>
      </c>
      <c r="K38" s="18" t="s">
        <v>136</v>
      </c>
      <c r="L38" s="18" t="s">
        <v>134</v>
      </c>
      <c r="M38" s="18" t="s">
        <v>160</v>
      </c>
      <c r="N38" s="18" t="s">
        <v>32</v>
      </c>
      <c r="O38" s="18" t="s">
        <v>34</v>
      </c>
      <c r="P38" s="18" t="s">
        <v>133</v>
      </c>
      <c r="Q38" s="42" t="s">
        <v>144</v>
      </c>
      <c r="R38" s="18" t="s">
        <v>36</v>
      </c>
      <c r="S38" s="35" t="s">
        <v>38</v>
      </c>
      <c r="T38" s="18" t="s">
        <v>40</v>
      </c>
      <c r="U38" s="18" t="s">
        <v>42</v>
      </c>
      <c r="V38" s="65"/>
      <c r="W38" s="65"/>
      <c r="X38" s="65"/>
      <c r="Y38" s="65"/>
      <c r="Z38" s="65"/>
      <c r="AA38" s="65"/>
      <c r="AB38" s="65"/>
      <c r="AC38" s="65"/>
      <c r="AD38" s="65"/>
      <c r="AE38" s="65"/>
    </row>
    <row r="39" spans="1:31" ht="13.5" thickBot="1" x14ac:dyDescent="0.25">
      <c r="A39" s="24" t="s">
        <v>16</v>
      </c>
      <c r="B39" s="25"/>
      <c r="C39" s="25"/>
      <c r="D39" s="25"/>
      <c r="E39" s="25"/>
      <c r="F39" s="25"/>
      <c r="G39" s="25"/>
      <c r="H39" s="26">
        <f>H41+H42+H43+H44+H45+H46+H47+H48+H49</f>
        <v>2464000</v>
      </c>
      <c r="I39" s="26">
        <f>I41+I42+I43+I44+I45+I46+I47+I48+I49</f>
        <v>1920000</v>
      </c>
      <c r="J39" s="26">
        <f>J40+J41+J42+J43+J44+J45+J46+J47+J48+J49</f>
        <v>120000</v>
      </c>
      <c r="K39" s="25"/>
      <c r="L39" s="25"/>
      <c r="M39" s="25"/>
      <c r="N39" s="26"/>
      <c r="O39" s="26"/>
      <c r="P39" s="25"/>
      <c r="Q39" s="25"/>
      <c r="R39" s="25"/>
      <c r="S39" s="25"/>
      <c r="T39" s="25"/>
      <c r="U39" s="78">
        <f>H39+I39+J39+N39+O39</f>
        <v>4504000</v>
      </c>
      <c r="V39" s="65"/>
      <c r="W39" s="65"/>
      <c r="X39" s="65"/>
      <c r="Y39" s="65"/>
      <c r="Z39" s="65"/>
      <c r="AA39" s="65"/>
      <c r="AB39" s="65"/>
      <c r="AC39" s="65"/>
      <c r="AD39" s="65"/>
      <c r="AE39" s="65"/>
    </row>
    <row r="40" spans="1:31" x14ac:dyDescent="0.2">
      <c r="A40" s="19" t="s">
        <v>1</v>
      </c>
      <c r="B40" s="19"/>
      <c r="C40" s="19"/>
      <c r="D40" s="19"/>
      <c r="E40" s="19"/>
      <c r="F40" s="19"/>
      <c r="G40" s="19"/>
      <c r="H40" s="22"/>
      <c r="I40" s="36"/>
      <c r="J40" s="19">
        <f>60000/2</f>
        <v>30000</v>
      </c>
      <c r="K40" s="19"/>
      <c r="L40" s="19"/>
      <c r="M40" s="19"/>
      <c r="N40" s="23"/>
      <c r="O40" s="23"/>
      <c r="P40" s="19"/>
      <c r="Q40" s="23"/>
      <c r="R40" s="19"/>
      <c r="S40" s="19"/>
      <c r="T40" s="19"/>
      <c r="U40" s="19">
        <f>H40+I40+J40+N40</f>
        <v>30000</v>
      </c>
      <c r="V40" s="65"/>
      <c r="W40" s="65"/>
      <c r="X40" s="65"/>
      <c r="Y40" s="65"/>
      <c r="Z40" s="65"/>
      <c r="AA40" s="65"/>
      <c r="AB40" s="65"/>
      <c r="AC40" s="65"/>
      <c r="AD40" s="65"/>
      <c r="AE40" s="65"/>
    </row>
    <row r="41" spans="1:31" x14ac:dyDescent="0.2">
      <c r="A41" s="4" t="s">
        <v>49</v>
      </c>
      <c r="B41" s="4"/>
      <c r="C41" s="4"/>
      <c r="D41" s="4"/>
      <c r="E41" s="4"/>
      <c r="F41" s="4"/>
      <c r="G41" s="4"/>
      <c r="H41" s="4">
        <f>504000/2</f>
        <v>252000</v>
      </c>
      <c r="I41" s="4">
        <f>48000*8/2</f>
        <v>192000</v>
      </c>
      <c r="J41" s="4">
        <f>20000/2</f>
        <v>10000</v>
      </c>
      <c r="K41" s="4"/>
      <c r="L41" s="4"/>
      <c r="M41" s="4"/>
      <c r="N41" s="4"/>
      <c r="O41" s="8"/>
      <c r="P41" s="4"/>
      <c r="Q41" s="4"/>
      <c r="R41" s="4"/>
      <c r="S41" s="4"/>
      <c r="T41" s="4"/>
      <c r="U41" s="4">
        <f>H41+I41+J41</f>
        <v>454000</v>
      </c>
      <c r="V41" s="65"/>
      <c r="W41" s="65"/>
      <c r="X41" s="65"/>
      <c r="Y41" s="65"/>
      <c r="Z41" s="65"/>
      <c r="AA41" s="65"/>
      <c r="AB41" s="65"/>
      <c r="AC41" s="65"/>
      <c r="AD41" s="65"/>
      <c r="AE41" s="65"/>
    </row>
    <row r="42" spans="1:31" x14ac:dyDescent="0.2">
      <c r="A42" s="4" t="s">
        <v>50</v>
      </c>
      <c r="B42" s="4"/>
      <c r="C42" s="4"/>
      <c r="D42" s="4"/>
      <c r="E42" s="4"/>
      <c r="F42" s="4"/>
      <c r="G42" s="4"/>
      <c r="H42" s="4">
        <f>616000/2</f>
        <v>308000</v>
      </c>
      <c r="I42" s="4">
        <f>48000*11/2</f>
        <v>264000</v>
      </c>
      <c r="J42" s="4">
        <f t="shared" ref="J42:J49" si="2">20000/2</f>
        <v>10000</v>
      </c>
      <c r="K42" s="4"/>
      <c r="L42" s="4"/>
      <c r="M42" s="4"/>
      <c r="N42" s="4"/>
      <c r="O42" s="8"/>
      <c r="P42" s="4"/>
      <c r="Q42" s="4"/>
      <c r="R42" s="4"/>
      <c r="S42" s="4"/>
      <c r="T42" s="4"/>
      <c r="U42" s="4">
        <f t="shared" ref="U42:U49" si="3">H42+I42+J42</f>
        <v>582000</v>
      </c>
      <c r="V42" s="65"/>
      <c r="W42" s="65"/>
      <c r="X42" s="65"/>
      <c r="Y42" s="65"/>
      <c r="Z42" s="65"/>
      <c r="AA42" s="65"/>
      <c r="AB42" s="65"/>
      <c r="AC42" s="65"/>
      <c r="AD42" s="65"/>
      <c r="AE42" s="65"/>
    </row>
    <row r="43" spans="1:31" x14ac:dyDescent="0.2">
      <c r="A43" s="4" t="s">
        <v>51</v>
      </c>
      <c r="B43" s="4"/>
      <c r="C43" s="4"/>
      <c r="D43" s="4"/>
      <c r="E43" s="4"/>
      <c r="F43" s="4"/>
      <c r="G43" s="4"/>
      <c r="H43" s="4">
        <f>616000/2</f>
        <v>308000</v>
      </c>
      <c r="I43" s="4">
        <f>48000*8/2</f>
        <v>192000</v>
      </c>
      <c r="J43" s="4">
        <f t="shared" si="2"/>
        <v>10000</v>
      </c>
      <c r="K43" s="4"/>
      <c r="L43" s="4"/>
      <c r="M43" s="4"/>
      <c r="N43" s="4"/>
      <c r="O43" s="8"/>
      <c r="P43" s="4"/>
      <c r="Q43" s="4"/>
      <c r="R43" s="4"/>
      <c r="S43" s="4"/>
      <c r="T43" s="4"/>
      <c r="U43" s="4">
        <f t="shared" si="3"/>
        <v>510000</v>
      </c>
      <c r="V43" s="65"/>
      <c r="W43" s="65"/>
      <c r="X43" s="65"/>
      <c r="Y43" s="65"/>
      <c r="Z43" s="65"/>
      <c r="AA43" s="65"/>
      <c r="AB43" s="65"/>
      <c r="AC43" s="65"/>
      <c r="AD43" s="65"/>
      <c r="AE43" s="65"/>
    </row>
    <row r="44" spans="1:31" x14ac:dyDescent="0.2">
      <c r="A44" s="4" t="s">
        <v>52</v>
      </c>
      <c r="B44" s="4"/>
      <c r="C44" s="4"/>
      <c r="D44" s="4"/>
      <c r="E44" s="4"/>
      <c r="F44" s="4"/>
      <c r="G44" s="4"/>
      <c r="H44" s="4">
        <f>448000/2</f>
        <v>224000</v>
      </c>
      <c r="I44" s="4">
        <f>48000*8/2</f>
        <v>192000</v>
      </c>
      <c r="J44" s="4">
        <f t="shared" si="2"/>
        <v>10000</v>
      </c>
      <c r="K44" s="4"/>
      <c r="L44" s="4"/>
      <c r="M44" s="4"/>
      <c r="N44" s="4"/>
      <c r="O44" s="8"/>
      <c r="P44" s="4"/>
      <c r="Q44" s="4"/>
      <c r="R44" s="4"/>
      <c r="S44" s="4"/>
      <c r="T44" s="4"/>
      <c r="U44" s="4">
        <f t="shared" si="3"/>
        <v>426000</v>
      </c>
      <c r="V44" s="65"/>
      <c r="W44" s="65"/>
      <c r="X44" s="65"/>
      <c r="Y44" s="65"/>
      <c r="Z44" s="65"/>
      <c r="AA44" s="65"/>
      <c r="AB44" s="65"/>
      <c r="AC44" s="65"/>
      <c r="AD44" s="65"/>
      <c r="AE44" s="65"/>
    </row>
    <row r="45" spans="1:31" x14ac:dyDescent="0.2">
      <c r="A45" s="4" t="s">
        <v>53</v>
      </c>
      <c r="B45" s="4"/>
      <c r="C45" s="4"/>
      <c r="D45" s="4"/>
      <c r="E45" s="4"/>
      <c r="F45" s="4"/>
      <c r="G45" s="4"/>
      <c r="H45" s="4">
        <f>504000/2</f>
        <v>252000</v>
      </c>
      <c r="I45" s="4">
        <f>48000*9/2</f>
        <v>216000</v>
      </c>
      <c r="J45" s="4">
        <f t="shared" si="2"/>
        <v>10000</v>
      </c>
      <c r="K45" s="4"/>
      <c r="L45" s="4"/>
      <c r="M45" s="4"/>
      <c r="N45" s="4"/>
      <c r="O45" s="8"/>
      <c r="P45" s="4"/>
      <c r="Q45" s="4"/>
      <c r="R45" s="4"/>
      <c r="S45" s="4"/>
      <c r="T45" s="4"/>
      <c r="U45" s="4">
        <f t="shared" si="3"/>
        <v>478000</v>
      </c>
      <c r="V45" s="65"/>
      <c r="W45" s="65"/>
      <c r="X45" s="65"/>
      <c r="Y45" s="65"/>
      <c r="Z45" s="65"/>
      <c r="AA45" s="65"/>
      <c r="AB45" s="65"/>
      <c r="AC45" s="65"/>
      <c r="AD45" s="65"/>
      <c r="AE45" s="65"/>
    </row>
    <row r="46" spans="1:31" x14ac:dyDescent="0.2">
      <c r="A46" s="4" t="s">
        <v>54</v>
      </c>
      <c r="B46" s="4"/>
      <c r="C46" s="4"/>
      <c r="D46" s="4"/>
      <c r="E46" s="4"/>
      <c r="F46" s="4"/>
      <c r="G46" s="4"/>
      <c r="H46" s="4">
        <f>448000/2</f>
        <v>224000</v>
      </c>
      <c r="I46" s="4">
        <f>48000*8/2</f>
        <v>192000</v>
      </c>
      <c r="J46" s="4">
        <f t="shared" si="2"/>
        <v>10000</v>
      </c>
      <c r="K46" s="4"/>
      <c r="L46" s="4"/>
      <c r="M46" s="4"/>
      <c r="N46" s="4"/>
      <c r="O46" s="8"/>
      <c r="P46" s="4"/>
      <c r="Q46" s="4"/>
      <c r="R46" s="4"/>
      <c r="S46" s="4"/>
      <c r="T46" s="4"/>
      <c r="U46" s="4">
        <f t="shared" si="3"/>
        <v>426000</v>
      </c>
      <c r="V46" s="65"/>
      <c r="W46" s="65"/>
      <c r="X46" s="65"/>
      <c r="Y46" s="65"/>
      <c r="Z46" s="65"/>
      <c r="AA46" s="65"/>
      <c r="AB46" s="65"/>
      <c r="AC46" s="65"/>
      <c r="AD46" s="65"/>
      <c r="AE46" s="65"/>
    </row>
    <row r="47" spans="1:31" x14ac:dyDescent="0.2">
      <c r="A47" s="4" t="s">
        <v>55</v>
      </c>
      <c r="B47" s="4"/>
      <c r="C47" s="4"/>
      <c r="D47" s="4"/>
      <c r="E47" s="4"/>
      <c r="F47" s="4"/>
      <c r="G47" s="4"/>
      <c r="H47" s="4">
        <f>616000/2</f>
        <v>308000</v>
      </c>
      <c r="I47" s="4">
        <f>48000*10/2</f>
        <v>240000</v>
      </c>
      <c r="J47" s="4">
        <f t="shared" si="2"/>
        <v>10000</v>
      </c>
      <c r="K47" s="4"/>
      <c r="L47" s="4"/>
      <c r="M47" s="4"/>
      <c r="N47" s="4"/>
      <c r="O47" s="8"/>
      <c r="P47" s="4"/>
      <c r="Q47" s="4"/>
      <c r="R47" s="4"/>
      <c r="S47" s="4"/>
      <c r="T47" s="4"/>
      <c r="U47" s="4">
        <f t="shared" si="3"/>
        <v>558000</v>
      </c>
      <c r="V47" s="65"/>
      <c r="W47" s="65"/>
      <c r="X47" s="65"/>
      <c r="Y47" s="65"/>
      <c r="Z47" s="65"/>
      <c r="AA47" s="65"/>
      <c r="AB47" s="65"/>
      <c r="AC47" s="65"/>
      <c r="AD47" s="65"/>
      <c r="AE47" s="65"/>
    </row>
    <row r="48" spans="1:31" x14ac:dyDescent="0.2">
      <c r="A48" s="4" t="s">
        <v>56</v>
      </c>
      <c r="B48" s="4"/>
      <c r="C48" s="4"/>
      <c r="D48" s="4"/>
      <c r="E48" s="4"/>
      <c r="F48" s="4"/>
      <c r="G48" s="4"/>
      <c r="H48" s="4">
        <f>616000/2</f>
        <v>308000</v>
      </c>
      <c r="I48" s="4">
        <f>48000*8/2</f>
        <v>192000</v>
      </c>
      <c r="J48" s="4">
        <f t="shared" si="2"/>
        <v>10000</v>
      </c>
      <c r="K48" s="4"/>
      <c r="L48" s="4"/>
      <c r="M48" s="4"/>
      <c r="N48" s="4"/>
      <c r="O48" s="8"/>
      <c r="P48" s="4"/>
      <c r="Q48" s="4"/>
      <c r="R48" s="4"/>
      <c r="S48" s="4"/>
      <c r="T48" s="4"/>
      <c r="U48" s="4">
        <f t="shared" si="3"/>
        <v>510000</v>
      </c>
      <c r="V48" s="65"/>
      <c r="W48" s="65"/>
      <c r="X48" s="65"/>
      <c r="Y48" s="65"/>
      <c r="Z48" s="65"/>
      <c r="AA48" s="65"/>
      <c r="AB48" s="65"/>
      <c r="AC48" s="65"/>
      <c r="AD48" s="65"/>
      <c r="AE48" s="65"/>
    </row>
    <row r="49" spans="1:31" x14ac:dyDescent="0.2">
      <c r="A49" s="4" t="s">
        <v>57</v>
      </c>
      <c r="B49" s="4"/>
      <c r="C49" s="4"/>
      <c r="D49" s="4"/>
      <c r="E49" s="4"/>
      <c r="F49" s="4"/>
      <c r="G49" s="4"/>
      <c r="H49" s="4">
        <f>560000/2</f>
        <v>280000</v>
      </c>
      <c r="I49" s="4">
        <f>48000*10/2</f>
        <v>240000</v>
      </c>
      <c r="J49" s="4">
        <f t="shared" si="2"/>
        <v>10000</v>
      </c>
      <c r="K49" s="4"/>
      <c r="L49" s="4"/>
      <c r="M49" s="4"/>
      <c r="N49" s="4"/>
      <c r="O49" s="8"/>
      <c r="P49" s="4"/>
      <c r="Q49" s="4"/>
      <c r="R49" s="4"/>
      <c r="S49" s="4"/>
      <c r="T49" s="4"/>
      <c r="U49" s="4">
        <f t="shared" si="3"/>
        <v>530000</v>
      </c>
      <c r="V49" s="65"/>
      <c r="W49" s="65"/>
      <c r="X49" s="65"/>
      <c r="Y49" s="65"/>
      <c r="Z49" s="65"/>
      <c r="AA49" s="65"/>
      <c r="AB49" s="65"/>
      <c r="AC49" s="65"/>
      <c r="AD49" s="65"/>
      <c r="AE49" s="65"/>
    </row>
    <row r="50" spans="1:31" x14ac:dyDescent="0.2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6"/>
      <c r="P50" s="45"/>
      <c r="Q50" s="45"/>
      <c r="R50" s="45"/>
      <c r="S50" s="45"/>
      <c r="T50" s="45"/>
      <c r="U50" s="45"/>
      <c r="V50" s="65"/>
      <c r="W50" s="65"/>
      <c r="X50" s="65"/>
      <c r="Y50" s="65"/>
      <c r="Z50" s="65"/>
      <c r="AA50" s="65"/>
      <c r="AB50" s="65"/>
      <c r="AC50" s="65"/>
      <c r="AD50" s="65"/>
      <c r="AE50" s="65"/>
    </row>
    <row r="51" spans="1:31" ht="18.75" x14ac:dyDescent="0.3">
      <c r="A51" s="33" t="s">
        <v>151</v>
      </c>
      <c r="B51" s="33"/>
      <c r="C51" s="33"/>
      <c r="D51" s="33"/>
      <c r="E51" s="33"/>
      <c r="F51" s="33"/>
      <c r="G51" s="33"/>
      <c r="H51" s="44"/>
      <c r="I51" s="33"/>
      <c r="J51" s="33"/>
      <c r="K51" s="33"/>
      <c r="L51" s="33"/>
      <c r="M51" s="33"/>
      <c r="N51" s="44"/>
      <c r="O51" s="33"/>
      <c r="P51" s="33"/>
      <c r="Q51" s="33"/>
      <c r="R51" s="33"/>
      <c r="S51" s="33"/>
      <c r="T51" s="33"/>
      <c r="U51" s="43"/>
      <c r="V51" s="65"/>
      <c r="W51" s="65"/>
      <c r="X51" s="65"/>
      <c r="Y51" s="65"/>
      <c r="Z51" s="65"/>
      <c r="AA51" s="65"/>
      <c r="AB51" s="65"/>
      <c r="AC51" s="65"/>
      <c r="AD51" s="65"/>
      <c r="AE51" s="65"/>
    </row>
    <row r="52" spans="1:31" ht="14.25" x14ac:dyDescent="0.25">
      <c r="A52" s="50" t="s">
        <v>174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65"/>
      <c r="W52" s="65"/>
      <c r="X52" s="65"/>
      <c r="Y52" s="65"/>
      <c r="Z52" s="65"/>
      <c r="AA52" s="65"/>
      <c r="AB52" s="65"/>
      <c r="AC52" s="65"/>
      <c r="AD52" s="65"/>
      <c r="AE52" s="65"/>
    </row>
    <row r="53" spans="1:31" ht="14.25" x14ac:dyDescent="0.25">
      <c r="A53" s="50" t="s">
        <v>177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65"/>
      <c r="W53" s="65"/>
      <c r="X53" s="65"/>
      <c r="Y53" s="65"/>
      <c r="Z53" s="65"/>
      <c r="AA53" s="65"/>
      <c r="AB53" s="65"/>
      <c r="AC53" s="65"/>
      <c r="AD53" s="65"/>
      <c r="AE53" s="65"/>
    </row>
    <row r="54" spans="1:31" ht="14.25" x14ac:dyDescent="0.25">
      <c r="A54" s="50" t="s">
        <v>175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65"/>
      <c r="W54" s="65"/>
      <c r="X54" s="65"/>
      <c r="Y54" s="65"/>
      <c r="Z54" s="65"/>
      <c r="AA54" s="65"/>
      <c r="AB54" s="65"/>
      <c r="AC54" s="65"/>
      <c r="AD54" s="65"/>
      <c r="AE54" s="65"/>
    </row>
    <row r="55" spans="1:31" ht="14.25" x14ac:dyDescent="0.25">
      <c r="A55" s="50" t="s">
        <v>178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65"/>
      <c r="W55" s="65"/>
      <c r="X55" s="65"/>
      <c r="Y55" s="65"/>
      <c r="Z55" s="65"/>
      <c r="AA55" s="65"/>
      <c r="AB55" s="65"/>
      <c r="AC55" s="65"/>
      <c r="AD55" s="65"/>
      <c r="AE55" s="65"/>
    </row>
    <row r="56" spans="1:31" ht="14.25" x14ac:dyDescent="0.25">
      <c r="A56" s="50" t="s">
        <v>180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65"/>
      <c r="W56" s="65"/>
      <c r="X56" s="65"/>
      <c r="Y56" s="65"/>
      <c r="Z56" s="65"/>
      <c r="AA56" s="65"/>
      <c r="AB56" s="65"/>
      <c r="AC56" s="65"/>
      <c r="AD56" s="65"/>
      <c r="AE56" s="65"/>
    </row>
    <row r="57" spans="1:31" ht="14.25" x14ac:dyDescent="0.25">
      <c r="A57" s="50" t="s">
        <v>179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65"/>
      <c r="W57" s="65"/>
      <c r="X57" s="65"/>
      <c r="Y57" s="65"/>
      <c r="Z57" s="65"/>
      <c r="AA57" s="65"/>
      <c r="AB57" s="65"/>
      <c r="AC57" s="65"/>
      <c r="AD57" s="65"/>
      <c r="AE57" s="65"/>
    </row>
    <row r="58" spans="1:31" ht="14.25" x14ac:dyDescent="0.25">
      <c r="A58" s="50" t="s">
        <v>176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65"/>
      <c r="W58" s="65"/>
      <c r="X58" s="65"/>
      <c r="Y58" s="65"/>
      <c r="Z58" s="65"/>
      <c r="AA58" s="65"/>
      <c r="AB58" s="65"/>
      <c r="AC58" s="65"/>
      <c r="AD58" s="65"/>
      <c r="AE58" s="65"/>
    </row>
    <row r="59" spans="1:31" ht="14.25" x14ac:dyDescent="0.25">
      <c r="A59" s="50" t="s">
        <v>182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65"/>
      <c r="W59" s="65"/>
      <c r="X59" s="65"/>
      <c r="Y59" s="65"/>
      <c r="Z59" s="65"/>
      <c r="AA59" s="65"/>
      <c r="AB59" s="65"/>
      <c r="AC59" s="65"/>
      <c r="AD59" s="65"/>
      <c r="AE59" s="65"/>
    </row>
    <row r="60" spans="1:31" ht="14.25" x14ac:dyDescent="0.25">
      <c r="A60" s="50" t="s">
        <v>181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65"/>
      <c r="W60" s="65"/>
      <c r="X60" s="65"/>
      <c r="Y60" s="65"/>
      <c r="Z60" s="65"/>
      <c r="AA60" s="65"/>
      <c r="AB60" s="65"/>
      <c r="AC60" s="65"/>
      <c r="AD60" s="65"/>
      <c r="AE60" s="65"/>
    </row>
    <row r="61" spans="1:31" ht="14.25" x14ac:dyDescent="0.25">
      <c r="A61" s="50" t="s">
        <v>166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65"/>
      <c r="W61" s="65"/>
      <c r="X61" s="65"/>
      <c r="Y61" s="65"/>
      <c r="Z61" s="65"/>
      <c r="AA61" s="65"/>
      <c r="AB61" s="65"/>
      <c r="AC61" s="65"/>
      <c r="AD61" s="65"/>
      <c r="AE61" s="65"/>
    </row>
    <row r="62" spans="1:31" ht="14.25" x14ac:dyDescent="0.25">
      <c r="A62" s="50" t="s">
        <v>167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65"/>
      <c r="W62" s="65"/>
      <c r="X62" s="65"/>
      <c r="Y62" s="65"/>
      <c r="Z62" s="65"/>
      <c r="AA62" s="65"/>
      <c r="AB62" s="65"/>
      <c r="AC62" s="65"/>
      <c r="AD62" s="65"/>
      <c r="AE62" s="65"/>
    </row>
    <row r="63" spans="1:31" ht="14.25" x14ac:dyDescent="0.2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0"/>
      <c r="O63" s="50"/>
      <c r="P63" s="50"/>
      <c r="Q63" s="50"/>
      <c r="R63" s="50"/>
      <c r="S63" s="50"/>
      <c r="T63" s="50"/>
      <c r="U63" s="50"/>
      <c r="V63" s="65"/>
      <c r="W63" s="65"/>
      <c r="X63" s="65"/>
      <c r="Y63" s="65"/>
      <c r="Z63" s="65"/>
      <c r="AA63" s="65"/>
      <c r="AB63" s="65"/>
      <c r="AC63" s="65"/>
      <c r="AD63" s="65"/>
      <c r="AE63" s="65"/>
    </row>
    <row r="64" spans="1:31" ht="17.25" x14ac:dyDescent="0.3">
      <c r="A64" s="94" t="s">
        <v>184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0"/>
      <c r="O64" s="50"/>
      <c r="P64" s="50"/>
      <c r="Q64" s="50"/>
      <c r="R64" s="50"/>
      <c r="S64" s="50"/>
      <c r="T64" s="50"/>
      <c r="U64" s="50"/>
      <c r="V64" s="65"/>
      <c r="W64" s="65"/>
      <c r="X64" s="65"/>
      <c r="Y64" s="65"/>
      <c r="Z64" s="65"/>
      <c r="AA64" s="65"/>
      <c r="AB64" s="65"/>
      <c r="AC64" s="65"/>
      <c r="AD64" s="65"/>
      <c r="AE64" s="65"/>
    </row>
    <row r="65" spans="1:31" ht="14.25" x14ac:dyDescent="0.2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0"/>
      <c r="O65" s="50"/>
      <c r="P65" s="50"/>
      <c r="Q65" s="50"/>
      <c r="R65" s="50"/>
      <c r="S65" s="50"/>
      <c r="T65" s="50"/>
      <c r="U65" s="50"/>
      <c r="V65" s="65"/>
      <c r="W65" s="65"/>
      <c r="X65" s="65"/>
      <c r="Y65" s="65"/>
      <c r="Z65" s="65"/>
      <c r="AA65" s="65"/>
      <c r="AB65" s="65"/>
      <c r="AC65" s="65"/>
      <c r="AD65" s="65"/>
      <c r="AE65" s="65"/>
    </row>
    <row r="66" spans="1:31" ht="14.25" x14ac:dyDescent="0.2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0"/>
      <c r="O66" s="50"/>
      <c r="P66" s="50"/>
      <c r="Q66" s="50"/>
      <c r="R66" s="50"/>
      <c r="S66" s="50"/>
      <c r="T66" s="50"/>
      <c r="U66" s="50"/>
      <c r="V66" s="65"/>
      <c r="W66" s="65"/>
      <c r="X66" s="65"/>
      <c r="Y66" s="65"/>
      <c r="Z66" s="65"/>
      <c r="AA66" s="65"/>
      <c r="AB66" s="65"/>
      <c r="AC66" s="65"/>
      <c r="AD66" s="65"/>
      <c r="AE66" s="65"/>
    </row>
    <row r="67" spans="1:31" ht="14.25" x14ac:dyDescent="0.2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0"/>
      <c r="O67" s="50"/>
      <c r="P67" s="50"/>
      <c r="Q67" s="50"/>
      <c r="R67" s="50"/>
      <c r="S67" s="50"/>
      <c r="T67" s="50"/>
      <c r="U67" s="50"/>
      <c r="V67" s="65"/>
      <c r="W67" s="65"/>
      <c r="X67" s="65"/>
      <c r="Y67" s="65"/>
      <c r="Z67" s="65"/>
      <c r="AA67" s="65"/>
      <c r="AB67" s="65"/>
      <c r="AC67" s="65"/>
      <c r="AD67" s="65"/>
      <c r="AE67" s="65"/>
    </row>
    <row r="68" spans="1:31" ht="14.25" x14ac:dyDescent="0.2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0"/>
      <c r="O68" s="50"/>
      <c r="P68" s="50"/>
      <c r="Q68" s="50"/>
      <c r="R68" s="50"/>
      <c r="S68" s="50"/>
      <c r="T68" s="50"/>
      <c r="U68" s="50"/>
      <c r="V68" s="65"/>
      <c r="W68" s="65"/>
      <c r="X68" s="65"/>
      <c r="Y68" s="65"/>
      <c r="Z68" s="65"/>
      <c r="AA68" s="65"/>
      <c r="AB68" s="65"/>
      <c r="AC68" s="65"/>
      <c r="AD68" s="65"/>
      <c r="AE68" s="65"/>
    </row>
    <row r="69" spans="1:31" ht="14.25" x14ac:dyDescent="0.2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0"/>
      <c r="O69" s="50"/>
      <c r="P69" s="50"/>
      <c r="Q69" s="50"/>
      <c r="R69" s="50"/>
      <c r="S69" s="50"/>
      <c r="T69" s="50"/>
      <c r="U69" s="50"/>
      <c r="V69" s="65"/>
      <c r="W69" s="65"/>
      <c r="X69" s="65"/>
      <c r="Y69" s="65"/>
      <c r="Z69" s="65"/>
      <c r="AA69" s="65"/>
      <c r="AB69" s="65"/>
      <c r="AC69" s="65"/>
      <c r="AD69" s="65"/>
      <c r="AE69" s="65"/>
    </row>
    <row r="70" spans="1:31" ht="18.75" x14ac:dyDescent="0.3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65"/>
      <c r="W70" s="65"/>
      <c r="X70" s="65"/>
      <c r="Y70" s="65"/>
      <c r="Z70" s="65"/>
      <c r="AA70" s="65"/>
      <c r="AB70" s="65"/>
      <c r="AC70" s="65"/>
      <c r="AD70" s="65"/>
      <c r="AE70" s="65"/>
    </row>
    <row r="71" spans="1:31" x14ac:dyDescent="0.2">
      <c r="V71" s="65"/>
      <c r="W71" s="65"/>
      <c r="X71" s="65"/>
      <c r="Y71" s="65"/>
      <c r="Z71" s="65"/>
      <c r="AA71" s="65"/>
      <c r="AB71" s="65"/>
      <c r="AC71" s="65"/>
      <c r="AD71" s="65"/>
      <c r="AE71" s="65"/>
    </row>
    <row r="72" spans="1:31" x14ac:dyDescent="0.2">
      <c r="A72" s="6" t="s">
        <v>2</v>
      </c>
      <c r="V72" s="65"/>
      <c r="W72" s="65"/>
      <c r="X72" s="65"/>
      <c r="Y72" s="65"/>
      <c r="Z72" s="65"/>
      <c r="AA72" s="65"/>
      <c r="AB72" s="65"/>
      <c r="AC72" s="65"/>
      <c r="AD72" s="65"/>
      <c r="AE72" s="65"/>
    </row>
    <row r="73" spans="1:31" x14ac:dyDescent="0.2">
      <c r="V73" s="65"/>
      <c r="W73" s="65"/>
      <c r="X73" s="65"/>
      <c r="Y73" s="65"/>
      <c r="Z73" s="65"/>
      <c r="AA73" s="65"/>
      <c r="AB73" s="65"/>
      <c r="AC73" s="65"/>
      <c r="AD73" s="65"/>
      <c r="AE73" s="65"/>
    </row>
    <row r="74" spans="1:31" x14ac:dyDescent="0.2">
      <c r="A74" s="14" t="s">
        <v>0</v>
      </c>
      <c r="B74" s="14" t="s">
        <v>46</v>
      </c>
      <c r="C74" s="14" t="s">
        <v>26</v>
      </c>
      <c r="D74" s="14" t="s">
        <v>46</v>
      </c>
      <c r="E74" s="14" t="s">
        <v>28</v>
      </c>
      <c r="F74" s="14" t="s">
        <v>43</v>
      </c>
      <c r="G74" s="14" t="s">
        <v>43</v>
      </c>
      <c r="H74" s="14" t="s">
        <v>14</v>
      </c>
      <c r="I74" s="14" t="s">
        <v>138</v>
      </c>
      <c r="J74" s="14" t="s">
        <v>30</v>
      </c>
      <c r="K74" s="14" t="s">
        <v>135</v>
      </c>
      <c r="L74" s="14" t="s">
        <v>13</v>
      </c>
      <c r="M74" s="14" t="s">
        <v>13</v>
      </c>
      <c r="N74" s="14" t="s">
        <v>31</v>
      </c>
      <c r="O74" s="14" t="s">
        <v>33</v>
      </c>
      <c r="P74" s="14" t="s">
        <v>33</v>
      </c>
      <c r="Q74" s="14" t="s">
        <v>145</v>
      </c>
      <c r="R74" s="14" t="s">
        <v>35</v>
      </c>
      <c r="S74" s="34" t="s">
        <v>37</v>
      </c>
      <c r="T74" s="14" t="s">
        <v>39</v>
      </c>
      <c r="U74" s="14" t="s">
        <v>41</v>
      </c>
      <c r="V74" s="53"/>
      <c r="W74" s="52"/>
      <c r="X74" s="52"/>
      <c r="Y74" s="53"/>
      <c r="Z74" s="65"/>
      <c r="AA74" s="65"/>
      <c r="AB74" s="65"/>
      <c r="AC74" s="65"/>
      <c r="AD74" s="65"/>
      <c r="AE74" s="65"/>
    </row>
    <row r="75" spans="1:31" ht="13.5" thickBot="1" x14ac:dyDescent="0.25">
      <c r="A75" s="18"/>
      <c r="B75" s="18" t="s">
        <v>48</v>
      </c>
      <c r="C75" s="18" t="s">
        <v>27</v>
      </c>
      <c r="D75" s="18" t="s">
        <v>47</v>
      </c>
      <c r="E75" s="18" t="s">
        <v>29</v>
      </c>
      <c r="F75" s="18" t="s">
        <v>44</v>
      </c>
      <c r="G75" s="18" t="s">
        <v>45</v>
      </c>
      <c r="H75" s="21" t="s">
        <v>137</v>
      </c>
      <c r="I75" s="18" t="s">
        <v>139</v>
      </c>
      <c r="J75" s="18" t="s">
        <v>146</v>
      </c>
      <c r="K75" s="18" t="s">
        <v>136</v>
      </c>
      <c r="L75" s="18" t="s">
        <v>134</v>
      </c>
      <c r="M75" s="18" t="s">
        <v>160</v>
      </c>
      <c r="N75" s="18" t="s">
        <v>32</v>
      </c>
      <c r="O75" s="18" t="s">
        <v>34</v>
      </c>
      <c r="P75" s="18" t="s">
        <v>133</v>
      </c>
      <c r="Q75" s="42" t="s">
        <v>144</v>
      </c>
      <c r="R75" s="18" t="s">
        <v>36</v>
      </c>
      <c r="S75" s="35" t="s">
        <v>38</v>
      </c>
      <c r="T75" s="18" t="s">
        <v>40</v>
      </c>
      <c r="U75" s="18" t="s">
        <v>42</v>
      </c>
      <c r="V75" s="53"/>
      <c r="W75" s="52"/>
      <c r="X75" s="52"/>
      <c r="Y75" s="53"/>
      <c r="Z75" s="65"/>
      <c r="AA75" s="65"/>
      <c r="AB75" s="65"/>
      <c r="AC75" s="65"/>
      <c r="AD75" s="65"/>
      <c r="AE75" s="65"/>
    </row>
    <row r="76" spans="1:31" ht="13.5" thickBot="1" x14ac:dyDescent="0.25">
      <c r="A76" s="24" t="s">
        <v>17</v>
      </c>
      <c r="B76" s="25"/>
      <c r="C76" s="25"/>
      <c r="D76" s="25"/>
      <c r="E76" s="25"/>
      <c r="F76" s="25"/>
      <c r="G76" s="25"/>
      <c r="H76" s="26">
        <f>H78+H79+H80+H81+H82+H83+H84+H85+H86</f>
        <v>3511200</v>
      </c>
      <c r="I76" s="26">
        <f>I78+I79+I80+I81+I82+I83+I84+I85+I86</f>
        <v>1560000</v>
      </c>
      <c r="J76" s="27">
        <f>J77+J78+J79+J80+J81+J82+J83+J84+J85+J86</f>
        <v>120000</v>
      </c>
      <c r="K76" s="25"/>
      <c r="L76" s="25"/>
      <c r="M76" s="25"/>
      <c r="N76" s="27"/>
      <c r="O76" s="27"/>
      <c r="P76" s="25"/>
      <c r="Q76" s="25"/>
      <c r="R76" s="25"/>
      <c r="S76" s="25"/>
      <c r="T76" s="25"/>
      <c r="U76" s="31">
        <f>H76+I76+J76+N76+O76</f>
        <v>5191200</v>
      </c>
      <c r="V76" s="53"/>
      <c r="W76" s="54"/>
      <c r="X76" s="54"/>
      <c r="Y76" s="53"/>
      <c r="Z76" s="65"/>
      <c r="AA76" s="65"/>
      <c r="AB76" s="65"/>
      <c r="AC76" s="65"/>
      <c r="AD76" s="65"/>
      <c r="AE76" s="65"/>
    </row>
    <row r="77" spans="1:31" x14ac:dyDescent="0.2">
      <c r="A77" s="19" t="s">
        <v>2</v>
      </c>
      <c r="B77" s="19"/>
      <c r="C77" s="19"/>
      <c r="D77" s="19"/>
      <c r="E77" s="19"/>
      <c r="F77" s="19"/>
      <c r="G77" s="19"/>
      <c r="H77" s="19"/>
      <c r="I77" s="19"/>
      <c r="J77" s="19">
        <f>60000/2</f>
        <v>30000</v>
      </c>
      <c r="K77" s="19"/>
      <c r="L77" s="19"/>
      <c r="M77" s="19"/>
      <c r="N77" s="22"/>
      <c r="O77" s="22"/>
      <c r="P77" s="19"/>
      <c r="Q77" s="22"/>
      <c r="R77" s="19"/>
      <c r="S77" s="19"/>
      <c r="T77" s="19"/>
      <c r="U77" s="19">
        <f>J77+Q77</f>
        <v>30000</v>
      </c>
      <c r="V77" s="53"/>
      <c r="W77" s="55"/>
      <c r="X77" s="55"/>
      <c r="Y77" s="53"/>
      <c r="Z77" s="65"/>
      <c r="AA77" s="65"/>
      <c r="AB77" s="65"/>
      <c r="AC77" s="65"/>
      <c r="AD77" s="65"/>
      <c r="AE77" s="65"/>
    </row>
    <row r="78" spans="1:31" x14ac:dyDescent="0.2">
      <c r="A78" s="4" t="s">
        <v>58</v>
      </c>
      <c r="B78" s="4"/>
      <c r="C78" s="4"/>
      <c r="D78" s="4"/>
      <c r="E78" s="4"/>
      <c r="F78" s="4"/>
      <c r="G78" s="4"/>
      <c r="H78" s="4">
        <f>683200/2</f>
        <v>341600</v>
      </c>
      <c r="I78" s="4">
        <f>48000*2/2</f>
        <v>48000</v>
      </c>
      <c r="J78" s="4">
        <f>20000/2</f>
        <v>10000</v>
      </c>
      <c r="K78" s="4"/>
      <c r="L78" s="4"/>
      <c r="M78" s="4"/>
      <c r="N78" s="4"/>
      <c r="O78" s="9"/>
      <c r="P78" s="4"/>
      <c r="Q78" s="4"/>
      <c r="R78" s="4"/>
      <c r="S78" s="4"/>
      <c r="T78" s="4"/>
      <c r="U78" s="4">
        <f>H78+I78+J78</f>
        <v>399600</v>
      </c>
      <c r="V78" s="45"/>
      <c r="W78" s="55"/>
      <c r="X78" s="55"/>
      <c r="Y78" s="56"/>
      <c r="Z78" s="65"/>
      <c r="AA78" s="65"/>
      <c r="AB78" s="65"/>
      <c r="AC78" s="65"/>
      <c r="AD78" s="65"/>
      <c r="AE78" s="65"/>
    </row>
    <row r="79" spans="1:31" x14ac:dyDescent="0.2">
      <c r="A79" s="4" t="s">
        <v>59</v>
      </c>
      <c r="B79" s="4"/>
      <c r="C79" s="4"/>
      <c r="D79" s="4"/>
      <c r="E79" s="4"/>
      <c r="F79" s="4"/>
      <c r="G79" s="4"/>
      <c r="H79" s="4">
        <f>616000/2</f>
        <v>308000</v>
      </c>
      <c r="I79" s="4">
        <f>48000*10/2</f>
        <v>240000</v>
      </c>
      <c r="J79" s="4">
        <f t="shared" ref="J79:J86" si="4">20000/2</f>
        <v>10000</v>
      </c>
      <c r="K79" s="4"/>
      <c r="L79" s="4"/>
      <c r="M79" s="4"/>
      <c r="N79" s="4"/>
      <c r="O79" s="9"/>
      <c r="P79" s="4"/>
      <c r="Q79" s="4"/>
      <c r="R79" s="4"/>
      <c r="S79" s="4"/>
      <c r="T79" s="4"/>
      <c r="U79" s="4">
        <f t="shared" ref="U79:U86" si="5">H79+I79+J79</f>
        <v>558000</v>
      </c>
      <c r="V79" s="45"/>
      <c r="W79" s="55"/>
      <c r="X79" s="55"/>
      <c r="Y79" s="56"/>
      <c r="Z79" s="65"/>
      <c r="AA79" s="65"/>
      <c r="AB79" s="65"/>
      <c r="AC79" s="65"/>
      <c r="AD79" s="65"/>
      <c r="AE79" s="65"/>
    </row>
    <row r="80" spans="1:31" x14ac:dyDescent="0.2">
      <c r="A80" s="4" t="s">
        <v>60</v>
      </c>
      <c r="B80" s="4"/>
      <c r="C80" s="4"/>
      <c r="D80" s="4"/>
      <c r="E80" s="4"/>
      <c r="F80" s="4"/>
      <c r="G80" s="4"/>
      <c r="H80" s="4">
        <f>784000/2</f>
        <v>392000</v>
      </c>
      <c r="I80" s="4">
        <f>48000*13/2</f>
        <v>312000</v>
      </c>
      <c r="J80" s="4">
        <f t="shared" si="4"/>
        <v>10000</v>
      </c>
      <c r="K80" s="4"/>
      <c r="L80" s="4"/>
      <c r="M80" s="4"/>
      <c r="N80" s="4"/>
      <c r="O80" s="9"/>
      <c r="P80" s="4"/>
      <c r="Q80" s="4"/>
      <c r="R80" s="4"/>
      <c r="S80" s="4"/>
      <c r="T80" s="4"/>
      <c r="U80" s="4">
        <f t="shared" si="5"/>
        <v>714000</v>
      </c>
      <c r="V80" s="45"/>
      <c r="W80" s="55"/>
      <c r="X80" s="55"/>
      <c r="Y80" s="56"/>
      <c r="Z80" s="65"/>
      <c r="AA80" s="65"/>
      <c r="AB80" s="65"/>
      <c r="AC80" s="65"/>
      <c r="AD80" s="65"/>
      <c r="AE80" s="65"/>
    </row>
    <row r="81" spans="1:31" x14ac:dyDescent="0.2">
      <c r="A81" s="60" t="s">
        <v>61</v>
      </c>
      <c r="B81" s="4"/>
      <c r="C81" s="4"/>
      <c r="D81" s="4"/>
      <c r="E81" s="4"/>
      <c r="F81" s="4"/>
      <c r="G81" s="4"/>
      <c r="H81" s="4">
        <f>1355200/2</f>
        <v>677600</v>
      </c>
      <c r="I81" s="4">
        <f>48000*9/2</f>
        <v>216000</v>
      </c>
      <c r="J81" s="4">
        <f t="shared" si="4"/>
        <v>10000</v>
      </c>
      <c r="K81" s="4"/>
      <c r="L81" s="4"/>
      <c r="M81" s="4"/>
      <c r="N81" s="4"/>
      <c r="O81" s="9"/>
      <c r="P81" s="4"/>
      <c r="Q81" s="4"/>
      <c r="R81" s="4"/>
      <c r="S81" s="4"/>
      <c r="T81" s="4"/>
      <c r="U81" s="4">
        <f t="shared" si="5"/>
        <v>903600</v>
      </c>
      <c r="V81" s="45"/>
      <c r="W81" s="55"/>
      <c r="X81" s="55"/>
      <c r="Y81" s="56"/>
      <c r="Z81" s="65"/>
      <c r="AA81" s="65"/>
      <c r="AB81" s="65"/>
      <c r="AC81" s="65"/>
      <c r="AD81" s="65"/>
      <c r="AE81" s="65"/>
    </row>
    <row r="82" spans="1:31" x14ac:dyDescent="0.2">
      <c r="A82" s="4" t="s">
        <v>62</v>
      </c>
      <c r="B82" s="4"/>
      <c r="C82" s="4"/>
      <c r="D82" s="4"/>
      <c r="E82" s="4"/>
      <c r="F82" s="4"/>
      <c r="G82" s="4"/>
      <c r="H82" s="4">
        <f>1052800/2</f>
        <v>526400</v>
      </c>
      <c r="I82" s="4">
        <f>48000*6/2</f>
        <v>144000</v>
      </c>
      <c r="J82" s="4">
        <f t="shared" si="4"/>
        <v>10000</v>
      </c>
      <c r="K82" s="4"/>
      <c r="L82" s="4"/>
      <c r="M82" s="4"/>
      <c r="N82" s="4"/>
      <c r="O82" s="9"/>
      <c r="P82" s="4"/>
      <c r="Q82" s="4"/>
      <c r="R82" s="4"/>
      <c r="S82" s="4"/>
      <c r="T82" s="4"/>
      <c r="U82" s="4">
        <f t="shared" si="5"/>
        <v>680400</v>
      </c>
      <c r="V82" s="45"/>
      <c r="W82" s="55"/>
      <c r="X82" s="55"/>
      <c r="Y82" s="56"/>
      <c r="Z82" s="65"/>
      <c r="AA82" s="65"/>
      <c r="AB82" s="65"/>
      <c r="AC82" s="65"/>
      <c r="AD82" s="65"/>
      <c r="AE82" s="65"/>
    </row>
    <row r="83" spans="1:31" x14ac:dyDescent="0.2">
      <c r="A83" s="4" t="s">
        <v>63</v>
      </c>
      <c r="B83" s="4"/>
      <c r="C83" s="4"/>
      <c r="D83" s="4"/>
      <c r="E83" s="4"/>
      <c r="F83" s="4"/>
      <c r="G83" s="4"/>
      <c r="H83" s="4">
        <f>784000/2</f>
        <v>392000</v>
      </c>
      <c r="I83" s="4">
        <f>48000*10/2</f>
        <v>240000</v>
      </c>
      <c r="J83" s="4">
        <f t="shared" si="4"/>
        <v>10000</v>
      </c>
      <c r="K83" s="4"/>
      <c r="L83" s="4"/>
      <c r="M83" s="4"/>
      <c r="N83" s="4"/>
      <c r="O83" s="9"/>
      <c r="P83" s="4"/>
      <c r="Q83" s="4"/>
      <c r="R83" s="4"/>
      <c r="S83" s="4"/>
      <c r="T83" s="4"/>
      <c r="U83" s="4">
        <f t="shared" si="5"/>
        <v>642000</v>
      </c>
      <c r="V83" s="45"/>
      <c r="W83" s="55"/>
      <c r="X83" s="55"/>
      <c r="Y83" s="56"/>
      <c r="Z83" s="65"/>
      <c r="AA83" s="65"/>
      <c r="AB83" s="65"/>
      <c r="AC83" s="65"/>
      <c r="AD83" s="65"/>
      <c r="AE83" s="65"/>
    </row>
    <row r="84" spans="1:31" x14ac:dyDescent="0.2">
      <c r="A84" s="4" t="s">
        <v>64</v>
      </c>
      <c r="B84" s="4"/>
      <c r="C84" s="4"/>
      <c r="D84" s="4"/>
      <c r="E84" s="4"/>
      <c r="F84" s="4"/>
      <c r="G84" s="4"/>
      <c r="H84" s="4">
        <f>817600/2</f>
        <v>408800</v>
      </c>
      <c r="I84" s="4">
        <f>48000*8/2</f>
        <v>192000</v>
      </c>
      <c r="J84" s="4">
        <f t="shared" si="4"/>
        <v>10000</v>
      </c>
      <c r="K84" s="4"/>
      <c r="L84" s="4"/>
      <c r="M84" s="4"/>
      <c r="N84" s="4"/>
      <c r="O84" s="9"/>
      <c r="P84" s="4"/>
      <c r="Q84" s="4"/>
      <c r="R84" s="4"/>
      <c r="S84" s="4"/>
      <c r="T84" s="4"/>
      <c r="U84" s="4">
        <f t="shared" si="5"/>
        <v>610800</v>
      </c>
      <c r="V84" s="45"/>
      <c r="W84" s="55"/>
      <c r="X84" s="55"/>
      <c r="Y84" s="56"/>
      <c r="Z84" s="65"/>
      <c r="AA84" s="65"/>
      <c r="AB84" s="65"/>
      <c r="AC84" s="65"/>
      <c r="AD84" s="65"/>
      <c r="AE84" s="65"/>
    </row>
    <row r="85" spans="1:31" x14ac:dyDescent="0.2">
      <c r="A85" s="4" t="s">
        <v>65</v>
      </c>
      <c r="B85" s="4"/>
      <c r="C85" s="4"/>
      <c r="D85" s="4"/>
      <c r="E85" s="4"/>
      <c r="F85" s="4"/>
      <c r="G85" s="4"/>
      <c r="H85" s="4">
        <f>369600/2</f>
        <v>184800</v>
      </c>
      <c r="I85" s="4">
        <f>48000*4/2</f>
        <v>96000</v>
      </c>
      <c r="J85" s="4">
        <f t="shared" si="4"/>
        <v>10000</v>
      </c>
      <c r="K85" s="4"/>
      <c r="L85" s="4"/>
      <c r="M85" s="4"/>
      <c r="N85" s="4"/>
      <c r="O85" s="9"/>
      <c r="P85" s="4"/>
      <c r="Q85" s="4"/>
      <c r="R85" s="4"/>
      <c r="S85" s="4"/>
      <c r="T85" s="4"/>
      <c r="U85" s="4">
        <f t="shared" si="5"/>
        <v>290800</v>
      </c>
      <c r="V85" s="45"/>
      <c r="W85" s="55"/>
      <c r="X85" s="55"/>
      <c r="Y85" s="56"/>
      <c r="Z85" s="65"/>
      <c r="AA85" s="65"/>
      <c r="AB85" s="65"/>
      <c r="AC85" s="65"/>
      <c r="AD85" s="65"/>
      <c r="AE85" s="65"/>
    </row>
    <row r="86" spans="1:31" x14ac:dyDescent="0.2">
      <c r="A86" s="4" t="s">
        <v>131</v>
      </c>
      <c r="B86" s="4"/>
      <c r="C86" s="4"/>
      <c r="D86" s="4"/>
      <c r="E86" s="4"/>
      <c r="F86" s="4"/>
      <c r="G86" s="4"/>
      <c r="H86" s="4">
        <f>560000/2</f>
        <v>280000</v>
      </c>
      <c r="I86" s="4">
        <f>48000*3/2</f>
        <v>72000</v>
      </c>
      <c r="J86" s="4">
        <f t="shared" si="4"/>
        <v>10000</v>
      </c>
      <c r="K86" s="4"/>
      <c r="L86" s="4"/>
      <c r="M86" s="4"/>
      <c r="N86" s="4"/>
      <c r="O86" s="9"/>
      <c r="P86" s="4"/>
      <c r="Q86" s="4"/>
      <c r="R86" s="4"/>
      <c r="S86" s="4"/>
      <c r="T86" s="4"/>
      <c r="U86" s="4">
        <f t="shared" si="5"/>
        <v>362000</v>
      </c>
      <c r="V86" s="45"/>
      <c r="W86" s="55"/>
      <c r="X86" s="55"/>
      <c r="Y86" s="56"/>
      <c r="Z86" s="65"/>
      <c r="AA86" s="65"/>
      <c r="AB86" s="65"/>
      <c r="AC86" s="65"/>
      <c r="AD86" s="65"/>
      <c r="AE86" s="65"/>
    </row>
    <row r="87" spans="1:31" x14ac:dyDescent="0.2">
      <c r="H87" s="13"/>
      <c r="I87" s="13"/>
      <c r="J87" s="5"/>
      <c r="N87" s="7"/>
      <c r="O87" s="5"/>
      <c r="U87" s="10"/>
      <c r="V87" s="65"/>
      <c r="W87" s="65"/>
      <c r="X87" s="65"/>
      <c r="Y87" s="65"/>
      <c r="Z87" s="65"/>
      <c r="AA87" s="65"/>
      <c r="AB87" s="65"/>
      <c r="AC87" s="65"/>
      <c r="AD87" s="65"/>
      <c r="AE87" s="65"/>
    </row>
    <row r="88" spans="1:31" ht="18.75" x14ac:dyDescent="0.3">
      <c r="A88" s="33" t="s">
        <v>151</v>
      </c>
      <c r="B88" s="33"/>
      <c r="C88" s="33"/>
      <c r="D88" s="33"/>
      <c r="E88" s="33"/>
      <c r="F88" s="33"/>
      <c r="G88" s="33"/>
      <c r="H88" s="44"/>
      <c r="I88" s="33"/>
      <c r="J88" s="33"/>
      <c r="K88" s="33"/>
      <c r="L88" s="33"/>
      <c r="M88" s="33"/>
      <c r="N88" s="44"/>
      <c r="O88" s="33"/>
      <c r="P88" s="33"/>
      <c r="Q88" s="33"/>
      <c r="R88" s="33"/>
      <c r="S88" s="33"/>
      <c r="T88" s="33"/>
      <c r="U88" s="43"/>
      <c r="V88" s="65"/>
      <c r="W88" s="65"/>
      <c r="X88" s="65"/>
      <c r="Y88" s="65"/>
      <c r="Z88" s="65"/>
      <c r="AA88" s="65"/>
      <c r="AB88" s="65"/>
      <c r="AC88" s="65"/>
      <c r="AD88" s="65"/>
      <c r="AE88" s="65"/>
    </row>
    <row r="89" spans="1:31" ht="14.25" x14ac:dyDescent="0.25">
      <c r="A89" s="50" t="s">
        <v>174</v>
      </c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65"/>
      <c r="W89" s="65"/>
      <c r="X89" s="65"/>
      <c r="Y89" s="65"/>
      <c r="Z89" s="65"/>
      <c r="AA89" s="65"/>
      <c r="AB89" s="65"/>
      <c r="AC89" s="65"/>
      <c r="AD89" s="65"/>
      <c r="AE89" s="65"/>
    </row>
    <row r="90" spans="1:31" ht="14.25" x14ac:dyDescent="0.25">
      <c r="A90" s="50" t="s">
        <v>177</v>
      </c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65"/>
      <c r="W90" s="65"/>
      <c r="X90" s="65"/>
      <c r="Y90" s="65"/>
      <c r="Z90" s="65"/>
      <c r="AA90" s="65"/>
      <c r="AB90" s="65"/>
      <c r="AC90" s="65"/>
      <c r="AD90" s="65"/>
      <c r="AE90" s="65"/>
    </row>
    <row r="91" spans="1:31" ht="14.25" x14ac:dyDescent="0.25">
      <c r="A91" s="50" t="s">
        <v>175</v>
      </c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65"/>
      <c r="W91" s="65"/>
      <c r="X91" s="65"/>
      <c r="Y91" s="65"/>
      <c r="Z91" s="65"/>
      <c r="AA91" s="65"/>
      <c r="AB91" s="65"/>
      <c r="AC91" s="65"/>
      <c r="AD91" s="65"/>
      <c r="AE91" s="65"/>
    </row>
    <row r="92" spans="1:31" ht="14.25" x14ac:dyDescent="0.25">
      <c r="A92" s="50" t="s">
        <v>178</v>
      </c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65"/>
      <c r="W92" s="65"/>
      <c r="X92" s="65"/>
      <c r="Y92" s="65"/>
      <c r="Z92" s="65"/>
      <c r="AA92" s="65"/>
      <c r="AB92" s="65"/>
      <c r="AC92" s="65"/>
      <c r="AD92" s="65"/>
      <c r="AE92" s="65"/>
    </row>
    <row r="93" spans="1:31" ht="14.25" x14ac:dyDescent="0.25">
      <c r="A93" s="50" t="s">
        <v>180</v>
      </c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65"/>
      <c r="W93" s="65"/>
      <c r="X93" s="65"/>
      <c r="Y93" s="65"/>
      <c r="Z93" s="65"/>
      <c r="AA93" s="65"/>
      <c r="AB93" s="65"/>
      <c r="AC93" s="65"/>
      <c r="AD93" s="65"/>
      <c r="AE93" s="65"/>
    </row>
    <row r="94" spans="1:31" ht="14.25" x14ac:dyDescent="0.25">
      <c r="A94" s="50" t="s">
        <v>179</v>
      </c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65"/>
      <c r="W94" s="65"/>
      <c r="X94" s="65"/>
      <c r="Y94" s="65"/>
      <c r="Z94" s="65"/>
      <c r="AA94" s="65"/>
      <c r="AB94" s="65"/>
      <c r="AC94" s="65"/>
      <c r="AD94" s="65"/>
      <c r="AE94" s="65"/>
    </row>
    <row r="95" spans="1:31" ht="14.25" x14ac:dyDescent="0.25">
      <c r="A95" s="50" t="s">
        <v>176</v>
      </c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65"/>
      <c r="W95" s="65"/>
      <c r="X95" s="65"/>
      <c r="Y95" s="65"/>
      <c r="Z95" s="65"/>
      <c r="AA95" s="65"/>
      <c r="AB95" s="65"/>
      <c r="AC95" s="65"/>
      <c r="AD95" s="65"/>
      <c r="AE95" s="65"/>
    </row>
    <row r="96" spans="1:31" ht="14.25" x14ac:dyDescent="0.25">
      <c r="A96" s="50" t="s">
        <v>182</v>
      </c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65"/>
      <c r="W96" s="65"/>
      <c r="X96" s="65"/>
      <c r="Y96" s="65"/>
      <c r="Z96" s="65"/>
      <c r="AA96" s="65"/>
      <c r="AB96" s="65"/>
      <c r="AC96" s="65"/>
      <c r="AD96" s="65"/>
      <c r="AE96" s="65"/>
    </row>
    <row r="97" spans="1:31" ht="14.25" x14ac:dyDescent="0.25">
      <c r="A97" s="50" t="s">
        <v>181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65"/>
      <c r="W97" s="65"/>
      <c r="X97" s="65"/>
      <c r="Y97" s="65"/>
      <c r="Z97" s="65"/>
      <c r="AA97" s="65"/>
      <c r="AB97" s="65"/>
      <c r="AC97" s="65"/>
      <c r="AD97" s="65"/>
      <c r="AE97" s="65"/>
    </row>
    <row r="98" spans="1:31" ht="14.25" x14ac:dyDescent="0.25">
      <c r="A98" s="50" t="s">
        <v>166</v>
      </c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65"/>
      <c r="W98" s="65"/>
      <c r="X98" s="65"/>
      <c r="Y98" s="65"/>
      <c r="Z98" s="65"/>
      <c r="AA98" s="65"/>
      <c r="AB98" s="65"/>
      <c r="AC98" s="65"/>
      <c r="AD98" s="65"/>
      <c r="AE98" s="65"/>
    </row>
    <row r="99" spans="1:31" ht="14.25" x14ac:dyDescent="0.25">
      <c r="A99" s="50" t="s">
        <v>167</v>
      </c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65"/>
      <c r="W99" s="65"/>
      <c r="X99" s="65"/>
      <c r="Y99" s="65"/>
      <c r="Z99" s="65"/>
      <c r="AA99" s="65"/>
      <c r="AB99" s="65"/>
      <c r="AC99" s="65"/>
      <c r="AD99" s="65"/>
      <c r="AE99" s="65"/>
    </row>
    <row r="100" spans="1:31" x14ac:dyDescent="0.2">
      <c r="A100" s="7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</row>
    <row r="101" spans="1:31" ht="17.25" x14ac:dyDescent="0.3">
      <c r="A101" s="94" t="s">
        <v>184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</row>
    <row r="102" spans="1:31" x14ac:dyDescent="0.2"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</row>
    <row r="103" spans="1:31" x14ac:dyDescent="0.2"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</row>
    <row r="104" spans="1:31" x14ac:dyDescent="0.2"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</row>
    <row r="105" spans="1:31" x14ac:dyDescent="0.2"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</row>
    <row r="106" spans="1:31" x14ac:dyDescent="0.2"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</row>
    <row r="107" spans="1:31" x14ac:dyDescent="0.2"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</row>
    <row r="108" spans="1:31" x14ac:dyDescent="0.2"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</row>
    <row r="109" spans="1:31" x14ac:dyDescent="0.2">
      <c r="A109" s="6" t="s">
        <v>3</v>
      </c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</row>
    <row r="110" spans="1:31" x14ac:dyDescent="0.2"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</row>
    <row r="111" spans="1:31" x14ac:dyDescent="0.2">
      <c r="A111" s="14" t="s">
        <v>0</v>
      </c>
      <c r="B111" s="14" t="s">
        <v>46</v>
      </c>
      <c r="C111" s="14" t="s">
        <v>26</v>
      </c>
      <c r="D111" s="14" t="s">
        <v>46</v>
      </c>
      <c r="E111" s="14" t="s">
        <v>28</v>
      </c>
      <c r="F111" s="14" t="s">
        <v>43</v>
      </c>
      <c r="G111" s="14" t="s">
        <v>43</v>
      </c>
      <c r="H111" s="14" t="s">
        <v>14</v>
      </c>
      <c r="I111" s="14" t="s">
        <v>138</v>
      </c>
      <c r="J111" s="14" t="s">
        <v>30</v>
      </c>
      <c r="K111" s="14" t="s">
        <v>135</v>
      </c>
      <c r="L111" s="14" t="s">
        <v>13</v>
      </c>
      <c r="M111" s="14" t="s">
        <v>13</v>
      </c>
      <c r="N111" s="14" t="s">
        <v>31</v>
      </c>
      <c r="O111" s="14" t="s">
        <v>33</v>
      </c>
      <c r="P111" s="14" t="s">
        <v>33</v>
      </c>
      <c r="Q111" s="14" t="s">
        <v>145</v>
      </c>
      <c r="R111" s="14" t="s">
        <v>35</v>
      </c>
      <c r="S111" s="34" t="s">
        <v>37</v>
      </c>
      <c r="T111" s="14" t="s">
        <v>39</v>
      </c>
      <c r="U111" s="14" t="s">
        <v>41</v>
      </c>
      <c r="V111" s="53"/>
      <c r="W111" s="52"/>
      <c r="X111" s="52"/>
      <c r="Y111" s="53"/>
      <c r="Z111" s="65"/>
      <c r="AA111" s="65"/>
      <c r="AB111" s="65"/>
      <c r="AC111" s="65"/>
      <c r="AD111" s="65"/>
      <c r="AE111" s="65"/>
    </row>
    <row r="112" spans="1:31" ht="13.5" thickBot="1" x14ac:dyDescent="0.25">
      <c r="A112" s="18"/>
      <c r="B112" s="18" t="s">
        <v>48</v>
      </c>
      <c r="C112" s="18" t="s">
        <v>27</v>
      </c>
      <c r="D112" s="18" t="s">
        <v>47</v>
      </c>
      <c r="E112" s="18" t="s">
        <v>29</v>
      </c>
      <c r="F112" s="18" t="s">
        <v>44</v>
      </c>
      <c r="G112" s="18" t="s">
        <v>45</v>
      </c>
      <c r="H112" s="21" t="s">
        <v>137</v>
      </c>
      <c r="I112" s="18" t="s">
        <v>139</v>
      </c>
      <c r="J112" s="18" t="s">
        <v>146</v>
      </c>
      <c r="K112" s="18" t="s">
        <v>136</v>
      </c>
      <c r="L112" s="18" t="s">
        <v>134</v>
      </c>
      <c r="M112" s="18" t="s">
        <v>160</v>
      </c>
      <c r="N112" s="18" t="s">
        <v>32</v>
      </c>
      <c r="O112" s="18" t="s">
        <v>34</v>
      </c>
      <c r="P112" s="18" t="s">
        <v>133</v>
      </c>
      <c r="Q112" s="42" t="s">
        <v>144</v>
      </c>
      <c r="R112" s="18" t="s">
        <v>36</v>
      </c>
      <c r="S112" s="35" t="s">
        <v>38</v>
      </c>
      <c r="T112" s="18" t="s">
        <v>40</v>
      </c>
      <c r="U112" s="18" t="s">
        <v>42</v>
      </c>
      <c r="V112" s="53"/>
      <c r="W112" s="52"/>
      <c r="X112" s="52"/>
      <c r="Y112" s="53"/>
      <c r="Z112" s="65"/>
      <c r="AA112" s="65"/>
      <c r="AB112" s="65"/>
      <c r="AC112" s="65"/>
      <c r="AD112" s="65"/>
      <c r="AE112" s="65"/>
    </row>
    <row r="113" spans="1:31" ht="13.5" thickBot="1" x14ac:dyDescent="0.25">
      <c r="A113" s="24" t="s">
        <v>18</v>
      </c>
      <c r="B113" s="25"/>
      <c r="C113" s="25"/>
      <c r="D113" s="25"/>
      <c r="E113" s="25"/>
      <c r="F113" s="25"/>
      <c r="G113" s="25"/>
      <c r="H113" s="26">
        <f>H115+H116+H117+H119+H118+H120+H121+H122</f>
        <v>3180800</v>
      </c>
      <c r="I113" s="26">
        <f>I115+I116+I117+I118+I119+I120+I121+I122</f>
        <v>1224000</v>
      </c>
      <c r="J113" s="27">
        <f>J114+J115+J116+J117+J118+J119+J120+J121+J122</f>
        <v>110000</v>
      </c>
      <c r="K113" s="25"/>
      <c r="L113" s="25"/>
      <c r="M113" s="25"/>
      <c r="N113" s="27"/>
      <c r="O113" s="27"/>
      <c r="P113" s="25"/>
      <c r="Q113" s="25"/>
      <c r="R113" s="25"/>
      <c r="S113" s="25"/>
      <c r="T113" s="25"/>
      <c r="U113" s="31">
        <f>U114+U115+U116+U117+U118+U119+U120+U121+U122</f>
        <v>4514800</v>
      </c>
      <c r="V113" s="53"/>
      <c r="W113" s="54"/>
      <c r="X113" s="54"/>
      <c r="Y113" s="53"/>
      <c r="Z113" s="65"/>
      <c r="AA113" s="65"/>
      <c r="AB113" s="65"/>
      <c r="AC113" s="65"/>
      <c r="AD113" s="65"/>
      <c r="AE113" s="65"/>
    </row>
    <row r="114" spans="1:31" x14ac:dyDescent="0.2">
      <c r="A114" s="19" t="s">
        <v>3</v>
      </c>
      <c r="B114" s="19"/>
      <c r="C114" s="19"/>
      <c r="D114" s="19"/>
      <c r="E114" s="19"/>
      <c r="F114" s="19"/>
      <c r="G114" s="19"/>
      <c r="H114" s="22"/>
      <c r="I114" s="36"/>
      <c r="J114" s="19">
        <f>60000/2</f>
        <v>30000</v>
      </c>
      <c r="K114" s="19"/>
      <c r="L114" s="19"/>
      <c r="M114" s="19"/>
      <c r="N114" s="23"/>
      <c r="O114" s="23"/>
      <c r="P114" s="19"/>
      <c r="Q114" s="23"/>
      <c r="R114" s="19"/>
      <c r="S114" s="19"/>
      <c r="T114" s="19"/>
      <c r="U114" s="39">
        <f t="shared" ref="U114" si="6">H114+I114+J114+N114+O114</f>
        <v>30000</v>
      </c>
      <c r="V114" s="53"/>
      <c r="W114" s="55"/>
      <c r="X114" s="55"/>
      <c r="Y114" s="53"/>
      <c r="Z114" s="65"/>
      <c r="AA114" s="65"/>
      <c r="AB114" s="65"/>
      <c r="AC114" s="65"/>
      <c r="AD114" s="65"/>
      <c r="AE114" s="65"/>
    </row>
    <row r="115" spans="1:31" x14ac:dyDescent="0.2">
      <c r="A115" s="4" t="s">
        <v>66</v>
      </c>
      <c r="B115" s="4"/>
      <c r="C115" s="4"/>
      <c r="D115" s="4"/>
      <c r="E115" s="4"/>
      <c r="F115" s="4"/>
      <c r="G115" s="4"/>
      <c r="H115" s="4">
        <f>806400/2</f>
        <v>403200</v>
      </c>
      <c r="I115" s="4">
        <f>48000*3/2</f>
        <v>72000</v>
      </c>
      <c r="J115" s="4">
        <f>20000/2</f>
        <v>10000</v>
      </c>
      <c r="K115" s="4"/>
      <c r="L115" s="4"/>
      <c r="M115" s="4"/>
      <c r="N115" s="4"/>
      <c r="O115" s="8"/>
      <c r="P115" s="4"/>
      <c r="Q115" s="4"/>
      <c r="R115" s="4"/>
      <c r="S115" s="4"/>
      <c r="T115" s="4"/>
      <c r="U115" s="40">
        <f>H115+I115+J115</f>
        <v>485200</v>
      </c>
      <c r="V115" s="45"/>
      <c r="W115" s="55"/>
      <c r="X115" s="55"/>
      <c r="Y115" s="56"/>
      <c r="Z115" s="65"/>
      <c r="AA115" s="65"/>
      <c r="AB115" s="65"/>
      <c r="AC115" s="65"/>
      <c r="AD115" s="65"/>
      <c r="AE115" s="65"/>
    </row>
    <row r="116" spans="1:31" x14ac:dyDescent="0.2">
      <c r="A116" s="4" t="s">
        <v>67</v>
      </c>
      <c r="B116" s="4"/>
      <c r="C116" s="4"/>
      <c r="D116" s="4"/>
      <c r="E116" s="4"/>
      <c r="F116" s="4"/>
      <c r="G116" s="4"/>
      <c r="H116" s="4">
        <f>963200/2</f>
        <v>481600</v>
      </c>
      <c r="I116" s="4">
        <f>48000*8/2</f>
        <v>192000</v>
      </c>
      <c r="J116" s="4">
        <f t="shared" ref="J116:J122" si="7">20000/2</f>
        <v>10000</v>
      </c>
      <c r="K116" s="4"/>
      <c r="L116" s="4"/>
      <c r="M116" s="4"/>
      <c r="N116" s="4"/>
      <c r="O116" s="8"/>
      <c r="P116" s="4"/>
      <c r="Q116" s="4"/>
      <c r="R116" s="4"/>
      <c r="S116" s="4"/>
      <c r="T116" s="4"/>
      <c r="U116" s="40">
        <f t="shared" ref="U116:U122" si="8">H116+I116+J116</f>
        <v>683600</v>
      </c>
      <c r="V116" s="45"/>
      <c r="W116" s="55"/>
      <c r="X116" s="55"/>
      <c r="Y116" s="56"/>
      <c r="Z116" s="65"/>
      <c r="AA116" s="65"/>
      <c r="AB116" s="65"/>
      <c r="AC116" s="65"/>
      <c r="AD116" s="65"/>
      <c r="AE116" s="65"/>
    </row>
    <row r="117" spans="1:31" x14ac:dyDescent="0.2">
      <c r="A117" s="4" t="s">
        <v>68</v>
      </c>
      <c r="B117" s="4"/>
      <c r="C117" s="4"/>
      <c r="D117" s="4"/>
      <c r="E117" s="4"/>
      <c r="F117" s="4"/>
      <c r="G117" s="4"/>
      <c r="H117" s="4">
        <f>1288000/2</f>
        <v>644000</v>
      </c>
      <c r="I117" s="4">
        <f>48000*18/2</f>
        <v>432000</v>
      </c>
      <c r="J117" s="4">
        <f t="shared" si="7"/>
        <v>10000</v>
      </c>
      <c r="K117" s="4"/>
      <c r="L117" s="4"/>
      <c r="M117" s="4"/>
      <c r="N117" s="4"/>
      <c r="O117" s="8"/>
      <c r="P117" s="4"/>
      <c r="Q117" s="4"/>
      <c r="R117" s="4"/>
      <c r="S117" s="4"/>
      <c r="T117" s="4"/>
      <c r="U117" s="40">
        <f t="shared" si="8"/>
        <v>1086000</v>
      </c>
      <c r="V117" s="45"/>
      <c r="W117" s="55"/>
      <c r="X117" s="55"/>
      <c r="Y117" s="56"/>
      <c r="Z117" s="65"/>
      <c r="AA117" s="65"/>
      <c r="AB117" s="65"/>
      <c r="AC117" s="65"/>
      <c r="AD117" s="65"/>
      <c r="AE117" s="65"/>
    </row>
    <row r="118" spans="1:31" x14ac:dyDescent="0.2">
      <c r="A118" s="4" t="s">
        <v>69</v>
      </c>
      <c r="B118" s="4"/>
      <c r="C118" s="4"/>
      <c r="D118" s="4"/>
      <c r="E118" s="4"/>
      <c r="F118" s="4"/>
      <c r="G118" s="4"/>
      <c r="H118" s="4">
        <f>604800/2</f>
        <v>302400</v>
      </c>
      <c r="I118" s="4">
        <f>48000*1/2</f>
        <v>24000</v>
      </c>
      <c r="J118" s="4">
        <f t="shared" si="7"/>
        <v>10000</v>
      </c>
      <c r="K118" s="4"/>
      <c r="L118" s="4"/>
      <c r="M118" s="4"/>
      <c r="N118" s="4"/>
      <c r="O118" s="8"/>
      <c r="P118" s="4"/>
      <c r="Q118" s="4"/>
      <c r="R118" s="4"/>
      <c r="S118" s="4"/>
      <c r="T118" s="4"/>
      <c r="U118" s="40">
        <f t="shared" si="8"/>
        <v>336400</v>
      </c>
      <c r="V118" s="45"/>
      <c r="W118" s="55"/>
      <c r="X118" s="55"/>
      <c r="Y118" s="56"/>
      <c r="Z118" s="65"/>
      <c r="AA118" s="65"/>
      <c r="AB118" s="65"/>
      <c r="AC118" s="65"/>
      <c r="AD118" s="65"/>
      <c r="AE118" s="65"/>
    </row>
    <row r="119" spans="1:31" x14ac:dyDescent="0.2">
      <c r="A119" s="4" t="s">
        <v>70</v>
      </c>
      <c r="B119" s="4"/>
      <c r="C119" s="4"/>
      <c r="D119" s="4"/>
      <c r="E119" s="4"/>
      <c r="F119" s="4"/>
      <c r="G119" s="4"/>
      <c r="H119" s="4">
        <f>313600/2</f>
        <v>156800</v>
      </c>
      <c r="I119" s="4">
        <f>48000*3/2</f>
        <v>72000</v>
      </c>
      <c r="J119" s="4">
        <f t="shared" si="7"/>
        <v>10000</v>
      </c>
      <c r="K119" s="4"/>
      <c r="L119" s="4"/>
      <c r="M119" s="4"/>
      <c r="N119" s="4"/>
      <c r="O119" s="8"/>
      <c r="P119" s="4"/>
      <c r="Q119" s="4"/>
      <c r="R119" s="4"/>
      <c r="S119" s="4"/>
      <c r="T119" s="4"/>
      <c r="U119" s="40">
        <f t="shared" si="8"/>
        <v>238800</v>
      </c>
      <c r="V119" s="45"/>
      <c r="W119" s="55"/>
      <c r="X119" s="55"/>
      <c r="Y119" s="56"/>
      <c r="Z119" s="65"/>
      <c r="AA119" s="65"/>
      <c r="AB119" s="65"/>
      <c r="AC119" s="65"/>
      <c r="AD119" s="65"/>
      <c r="AE119" s="65"/>
    </row>
    <row r="120" spans="1:31" x14ac:dyDescent="0.2">
      <c r="A120" s="4" t="s">
        <v>71</v>
      </c>
      <c r="B120" s="4"/>
      <c r="C120" s="4"/>
      <c r="D120" s="4"/>
      <c r="E120" s="4"/>
      <c r="F120" s="4"/>
      <c r="G120" s="4"/>
      <c r="H120" s="4">
        <f>616000/2</f>
        <v>308000</v>
      </c>
      <c r="I120" s="4">
        <f>48000*5/2</f>
        <v>120000</v>
      </c>
      <c r="J120" s="4">
        <f t="shared" si="7"/>
        <v>10000</v>
      </c>
      <c r="K120" s="4"/>
      <c r="L120" s="4"/>
      <c r="M120" s="4"/>
      <c r="N120" s="4"/>
      <c r="O120" s="8"/>
      <c r="P120" s="4"/>
      <c r="Q120" s="4"/>
      <c r="R120" s="4"/>
      <c r="S120" s="4"/>
      <c r="T120" s="4"/>
      <c r="U120" s="40">
        <f t="shared" si="8"/>
        <v>438000</v>
      </c>
      <c r="V120" s="45"/>
      <c r="W120" s="55"/>
      <c r="X120" s="55"/>
      <c r="Y120" s="56"/>
      <c r="Z120" s="65"/>
      <c r="AA120" s="65"/>
      <c r="AB120" s="65"/>
      <c r="AC120" s="65"/>
      <c r="AD120" s="65"/>
      <c r="AE120" s="65"/>
    </row>
    <row r="121" spans="1:31" x14ac:dyDescent="0.2">
      <c r="A121" s="4" t="s">
        <v>72</v>
      </c>
      <c r="B121" s="4"/>
      <c r="C121" s="4"/>
      <c r="D121" s="4"/>
      <c r="E121" s="4"/>
      <c r="F121" s="4"/>
      <c r="G121" s="4"/>
      <c r="H121" s="4">
        <f>873600/2</f>
        <v>436800</v>
      </c>
      <c r="I121" s="4">
        <f>48000*9/2</f>
        <v>216000</v>
      </c>
      <c r="J121" s="4">
        <f t="shared" si="7"/>
        <v>10000</v>
      </c>
      <c r="K121" s="4"/>
      <c r="L121" s="4"/>
      <c r="M121" s="4"/>
      <c r="N121" s="4"/>
      <c r="O121" s="8"/>
      <c r="P121" s="4"/>
      <c r="Q121" s="4"/>
      <c r="R121" s="4"/>
      <c r="S121" s="4"/>
      <c r="T121" s="4"/>
      <c r="U121" s="40">
        <f t="shared" si="8"/>
        <v>662800</v>
      </c>
      <c r="V121" s="45"/>
      <c r="W121" s="55"/>
      <c r="X121" s="55"/>
      <c r="Y121" s="56"/>
      <c r="Z121" s="65"/>
      <c r="AA121" s="65"/>
      <c r="AB121" s="65"/>
      <c r="AC121" s="65"/>
      <c r="AD121" s="65"/>
      <c r="AE121" s="65"/>
    </row>
    <row r="122" spans="1:31" x14ac:dyDescent="0.2">
      <c r="A122" s="4" t="s">
        <v>73</v>
      </c>
      <c r="B122" s="4"/>
      <c r="C122" s="4"/>
      <c r="D122" s="4"/>
      <c r="E122" s="4"/>
      <c r="F122" s="4"/>
      <c r="G122" s="4"/>
      <c r="H122" s="4">
        <f>896000/2</f>
        <v>448000</v>
      </c>
      <c r="I122" s="4">
        <f>48000*4/2</f>
        <v>96000</v>
      </c>
      <c r="J122" s="4">
        <f t="shared" si="7"/>
        <v>10000</v>
      </c>
      <c r="K122" s="4"/>
      <c r="L122" s="4"/>
      <c r="M122" s="4"/>
      <c r="N122" s="4"/>
      <c r="O122" s="8"/>
      <c r="P122" s="4"/>
      <c r="Q122" s="4"/>
      <c r="R122" s="4"/>
      <c r="S122" s="4"/>
      <c r="T122" s="4"/>
      <c r="U122" s="40">
        <f t="shared" si="8"/>
        <v>554000</v>
      </c>
      <c r="V122" s="45"/>
      <c r="W122" s="55"/>
      <c r="X122" s="55"/>
      <c r="Y122" s="56"/>
      <c r="Z122" s="65"/>
      <c r="AA122" s="65"/>
      <c r="AB122" s="65"/>
      <c r="AC122" s="65"/>
      <c r="AD122" s="65"/>
      <c r="AE122" s="65"/>
    </row>
    <row r="123" spans="1:31" x14ac:dyDescent="0.2">
      <c r="J123" s="5"/>
      <c r="N123" s="11"/>
      <c r="O123" s="5"/>
      <c r="U123" s="10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</row>
    <row r="124" spans="1:31" ht="18.75" x14ac:dyDescent="0.3">
      <c r="A124" s="33" t="s">
        <v>151</v>
      </c>
      <c r="B124" s="33"/>
      <c r="C124" s="33"/>
      <c r="D124" s="33"/>
      <c r="E124" s="33"/>
      <c r="F124" s="33"/>
      <c r="G124" s="33"/>
      <c r="H124" s="44"/>
      <c r="I124" s="33"/>
      <c r="J124" s="33"/>
      <c r="K124" s="33"/>
      <c r="L124" s="33"/>
      <c r="M124" s="33"/>
      <c r="N124" s="44"/>
      <c r="O124" s="33"/>
      <c r="P124" s="33"/>
      <c r="Q124" s="33"/>
      <c r="R124" s="33"/>
      <c r="S124" s="33"/>
      <c r="T124" s="33"/>
      <c r="U124" s="43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</row>
    <row r="125" spans="1:31" ht="14.25" x14ac:dyDescent="0.25">
      <c r="A125" s="50" t="s">
        <v>174</v>
      </c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</row>
    <row r="126" spans="1:31" ht="14.25" x14ac:dyDescent="0.25">
      <c r="A126" s="50" t="s">
        <v>177</v>
      </c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</row>
    <row r="127" spans="1:31" ht="14.25" x14ac:dyDescent="0.25">
      <c r="A127" s="50" t="s">
        <v>175</v>
      </c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</row>
    <row r="128" spans="1:31" ht="14.25" x14ac:dyDescent="0.25">
      <c r="A128" s="50" t="s">
        <v>178</v>
      </c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</row>
    <row r="129" spans="1:31" ht="14.25" x14ac:dyDescent="0.25">
      <c r="A129" s="50" t="s">
        <v>180</v>
      </c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</row>
    <row r="130" spans="1:31" ht="14.25" x14ac:dyDescent="0.25">
      <c r="A130" s="50" t="s">
        <v>179</v>
      </c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</row>
    <row r="131" spans="1:31" ht="14.25" x14ac:dyDescent="0.25">
      <c r="A131" s="50" t="s">
        <v>176</v>
      </c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</row>
    <row r="132" spans="1:31" ht="14.25" x14ac:dyDescent="0.25">
      <c r="A132" s="50" t="s">
        <v>182</v>
      </c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</row>
    <row r="133" spans="1:31" ht="14.25" x14ac:dyDescent="0.25">
      <c r="A133" s="50" t="s">
        <v>181</v>
      </c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</row>
    <row r="134" spans="1:31" ht="14.25" x14ac:dyDescent="0.25">
      <c r="A134" s="50" t="s">
        <v>166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</row>
    <row r="135" spans="1:31" ht="14.25" x14ac:dyDescent="0.25">
      <c r="A135" s="50" t="s">
        <v>167</v>
      </c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</row>
    <row r="136" spans="1:31" x14ac:dyDescent="0.2"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</row>
    <row r="137" spans="1:31" ht="17.25" x14ac:dyDescent="0.3">
      <c r="A137" s="94" t="s">
        <v>184</v>
      </c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</row>
    <row r="138" spans="1:31" x14ac:dyDescent="0.2"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</row>
    <row r="139" spans="1:31" x14ac:dyDescent="0.2"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</row>
    <row r="140" spans="1:31" x14ac:dyDescent="0.2"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</row>
    <row r="141" spans="1:31" x14ac:dyDescent="0.2"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</row>
    <row r="142" spans="1:31" x14ac:dyDescent="0.2"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</row>
    <row r="143" spans="1:31" x14ac:dyDescent="0.2"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</row>
    <row r="144" spans="1:31" x14ac:dyDescent="0.2"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</row>
    <row r="145" spans="1:31" x14ac:dyDescent="0.2">
      <c r="A145" s="6" t="s">
        <v>4</v>
      </c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</row>
    <row r="146" spans="1:31" x14ac:dyDescent="0.2"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</row>
    <row r="147" spans="1:31" x14ac:dyDescent="0.2">
      <c r="A147" s="14" t="s">
        <v>0</v>
      </c>
      <c r="B147" s="14" t="s">
        <v>46</v>
      </c>
      <c r="C147" s="14" t="s">
        <v>26</v>
      </c>
      <c r="D147" s="14" t="s">
        <v>46</v>
      </c>
      <c r="E147" s="14" t="s">
        <v>28</v>
      </c>
      <c r="F147" s="14" t="s">
        <v>43</v>
      </c>
      <c r="G147" s="14" t="s">
        <v>43</v>
      </c>
      <c r="H147" s="14" t="s">
        <v>14</v>
      </c>
      <c r="I147" s="14" t="s">
        <v>138</v>
      </c>
      <c r="J147" s="14" t="s">
        <v>30</v>
      </c>
      <c r="K147" s="14" t="s">
        <v>135</v>
      </c>
      <c r="L147" s="14" t="s">
        <v>13</v>
      </c>
      <c r="M147" s="14" t="s">
        <v>13</v>
      </c>
      <c r="N147" s="14" t="s">
        <v>31</v>
      </c>
      <c r="O147" s="14" t="s">
        <v>33</v>
      </c>
      <c r="P147" s="14" t="s">
        <v>33</v>
      </c>
      <c r="Q147" s="14" t="s">
        <v>145</v>
      </c>
      <c r="R147" s="14" t="s">
        <v>35</v>
      </c>
      <c r="S147" s="34" t="s">
        <v>37</v>
      </c>
      <c r="T147" s="14" t="s">
        <v>39</v>
      </c>
      <c r="U147" s="14" t="s">
        <v>41</v>
      </c>
      <c r="V147" s="53"/>
      <c r="W147" s="52" t="s">
        <v>30</v>
      </c>
      <c r="X147" s="52" t="s">
        <v>31</v>
      </c>
      <c r="Y147" s="53"/>
      <c r="Z147" s="53"/>
      <c r="AA147" s="65"/>
      <c r="AB147" s="65"/>
      <c r="AC147" s="65"/>
      <c r="AD147" s="65"/>
      <c r="AE147" s="65"/>
    </row>
    <row r="148" spans="1:31" ht="13.5" thickBot="1" x14ac:dyDescent="0.25">
      <c r="A148" s="18"/>
      <c r="B148" s="18" t="s">
        <v>48</v>
      </c>
      <c r="C148" s="18" t="s">
        <v>27</v>
      </c>
      <c r="D148" s="18" t="s">
        <v>47</v>
      </c>
      <c r="E148" s="18" t="s">
        <v>29</v>
      </c>
      <c r="F148" s="18" t="s">
        <v>44</v>
      </c>
      <c r="G148" s="18" t="s">
        <v>45</v>
      </c>
      <c r="H148" s="21" t="s">
        <v>137</v>
      </c>
      <c r="I148" s="18" t="s">
        <v>139</v>
      </c>
      <c r="J148" s="18" t="s">
        <v>146</v>
      </c>
      <c r="K148" s="18" t="s">
        <v>136</v>
      </c>
      <c r="L148" s="18" t="s">
        <v>134</v>
      </c>
      <c r="M148" s="18" t="s">
        <v>160</v>
      </c>
      <c r="N148" s="18" t="s">
        <v>32</v>
      </c>
      <c r="O148" s="18" t="s">
        <v>34</v>
      </c>
      <c r="P148" s="18" t="s">
        <v>133</v>
      </c>
      <c r="Q148" s="42" t="s">
        <v>144</v>
      </c>
      <c r="R148" s="18" t="s">
        <v>36</v>
      </c>
      <c r="S148" s="35" t="s">
        <v>38</v>
      </c>
      <c r="T148" s="18" t="s">
        <v>40</v>
      </c>
      <c r="U148" s="18" t="s">
        <v>42</v>
      </c>
      <c r="V148" s="53"/>
      <c r="W148" s="52" t="s">
        <v>146</v>
      </c>
      <c r="X148" s="52" t="s">
        <v>32</v>
      </c>
      <c r="Y148" s="53"/>
      <c r="Z148" s="53"/>
      <c r="AA148" s="65"/>
      <c r="AB148" s="65"/>
      <c r="AC148" s="65"/>
      <c r="AD148" s="65"/>
      <c r="AE148" s="65"/>
    </row>
    <row r="149" spans="1:31" ht="13.5" thickBot="1" x14ac:dyDescent="0.25">
      <c r="A149" s="24" t="s">
        <v>19</v>
      </c>
      <c r="B149" s="25"/>
      <c r="C149" s="25"/>
      <c r="D149" s="25"/>
      <c r="E149" s="25"/>
      <c r="F149" s="25"/>
      <c r="G149" s="25"/>
      <c r="H149" s="26">
        <f>H151+H152+H153+H154+H155+H156+H157+H158</f>
        <v>6227200</v>
      </c>
      <c r="I149" s="26">
        <f>I151+I152+I153+I154+I155+I156+I157+I158</f>
        <v>744000</v>
      </c>
      <c r="J149" s="26">
        <f>J150+J151+J152+J153+J154+J155+J156+J157+J158</f>
        <v>110000</v>
      </c>
      <c r="K149" s="25"/>
      <c r="L149" s="25"/>
      <c r="M149" s="25"/>
      <c r="N149" s="26"/>
      <c r="O149" s="26"/>
      <c r="P149" s="25"/>
      <c r="Q149" s="25"/>
      <c r="R149" s="25"/>
      <c r="S149" s="25"/>
      <c r="T149" s="25"/>
      <c r="U149" s="89">
        <f>U150+U151+U152+U153+U154+U155+U156+U157+U158</f>
        <v>7081200</v>
      </c>
      <c r="V149" s="53"/>
      <c r="W149" s="54">
        <f>W150+W151+W152+W153+W154+W155+W156+W157+W158</f>
        <v>60000</v>
      </c>
      <c r="X149" s="54">
        <f>X151+X152+X153+X154+X155+X156+X157+X158</f>
        <v>0</v>
      </c>
      <c r="Y149" s="53"/>
      <c r="Z149" s="53"/>
      <c r="AA149" s="65"/>
      <c r="AB149" s="65"/>
      <c r="AC149" s="65"/>
      <c r="AD149" s="65"/>
      <c r="AE149" s="65"/>
    </row>
    <row r="150" spans="1:31" x14ac:dyDescent="0.2">
      <c r="A150" s="19" t="s">
        <v>4</v>
      </c>
      <c r="B150" s="19"/>
      <c r="C150" s="19"/>
      <c r="D150" s="19"/>
      <c r="E150" s="19"/>
      <c r="F150" s="19"/>
      <c r="G150" s="19"/>
      <c r="H150" s="19"/>
      <c r="I150" s="36"/>
      <c r="J150" s="19">
        <f>60000/2</f>
        <v>30000</v>
      </c>
      <c r="K150" s="19"/>
      <c r="L150" s="19"/>
      <c r="M150" s="19"/>
      <c r="N150" s="23"/>
      <c r="O150" s="23"/>
      <c r="P150" s="19"/>
      <c r="Q150" s="23"/>
      <c r="R150" s="19"/>
      <c r="S150" s="19"/>
      <c r="T150" s="19"/>
      <c r="U150" s="19">
        <f>J150</f>
        <v>30000</v>
      </c>
      <c r="V150" s="53"/>
      <c r="W150" s="55">
        <v>60000</v>
      </c>
      <c r="X150" s="55"/>
      <c r="Y150" s="53"/>
      <c r="Z150" s="53"/>
      <c r="AA150" s="65"/>
      <c r="AB150" s="65"/>
      <c r="AC150" s="65"/>
      <c r="AD150" s="65"/>
      <c r="AE150" s="65"/>
    </row>
    <row r="151" spans="1:31" x14ac:dyDescent="0.2">
      <c r="A151" s="4" t="s">
        <v>74</v>
      </c>
      <c r="B151" s="4"/>
      <c r="C151" s="4"/>
      <c r="D151" s="4"/>
      <c r="E151" s="4"/>
      <c r="F151" s="4"/>
      <c r="G151" s="4"/>
      <c r="H151" s="4">
        <f>1512000/2</f>
        <v>756000</v>
      </c>
      <c r="I151" s="4">
        <f>48000*1/2</f>
        <v>24000</v>
      </c>
      <c r="J151" s="4">
        <f>20000/2</f>
        <v>10000</v>
      </c>
      <c r="K151" s="4"/>
      <c r="L151" s="4"/>
      <c r="M151" s="4"/>
      <c r="N151" s="4"/>
      <c r="O151" s="8"/>
      <c r="P151" s="4"/>
      <c r="Q151" s="4"/>
      <c r="R151" s="4"/>
      <c r="S151" s="4"/>
      <c r="T151" s="4"/>
      <c r="U151" s="4">
        <f>H151+I151+J151</f>
        <v>790000</v>
      </c>
      <c r="V151" s="45"/>
      <c r="W151" s="55"/>
      <c r="X151" s="55"/>
      <c r="Y151" s="56"/>
      <c r="Z151" s="53"/>
      <c r="AA151" s="65"/>
      <c r="AB151" s="65"/>
      <c r="AC151" s="65"/>
      <c r="AD151" s="65"/>
      <c r="AE151" s="65"/>
    </row>
    <row r="152" spans="1:31" x14ac:dyDescent="0.2">
      <c r="A152" s="4" t="s">
        <v>75</v>
      </c>
      <c r="B152" s="4"/>
      <c r="C152" s="4"/>
      <c r="D152" s="4"/>
      <c r="E152" s="4"/>
      <c r="F152" s="4"/>
      <c r="G152" s="4"/>
      <c r="H152" s="4">
        <f>2710400/2</f>
        <v>1355200</v>
      </c>
      <c r="I152" s="4">
        <f>48000*9/2</f>
        <v>216000</v>
      </c>
      <c r="J152" s="4">
        <f t="shared" ref="J152:J158" si="9">20000/2</f>
        <v>10000</v>
      </c>
      <c r="K152" s="4"/>
      <c r="L152" s="4"/>
      <c r="M152" s="4"/>
      <c r="N152" s="4"/>
      <c r="O152" s="8"/>
      <c r="P152" s="4"/>
      <c r="Q152" s="4"/>
      <c r="R152" s="4"/>
      <c r="S152" s="4"/>
      <c r="T152" s="4"/>
      <c r="U152" s="4">
        <f t="shared" ref="U152:U158" si="10">H152+I152+J152</f>
        <v>1581200</v>
      </c>
      <c r="V152" s="45"/>
      <c r="W152" s="55"/>
      <c r="X152" s="55"/>
      <c r="Y152" s="56"/>
      <c r="Z152" s="53"/>
      <c r="AA152" s="65"/>
      <c r="AB152" s="65"/>
      <c r="AC152" s="65"/>
      <c r="AD152" s="65"/>
      <c r="AE152" s="65"/>
    </row>
    <row r="153" spans="1:31" x14ac:dyDescent="0.2">
      <c r="A153" s="4" t="s">
        <v>76</v>
      </c>
      <c r="B153" s="4"/>
      <c r="C153" s="4"/>
      <c r="D153" s="4"/>
      <c r="E153" s="4"/>
      <c r="F153" s="4"/>
      <c r="G153" s="4"/>
      <c r="H153" s="4">
        <f>1792000/2</f>
        <v>896000</v>
      </c>
      <c r="I153" s="4">
        <f>48000*3/2</f>
        <v>72000</v>
      </c>
      <c r="J153" s="4">
        <f t="shared" si="9"/>
        <v>10000</v>
      </c>
      <c r="K153" s="4"/>
      <c r="L153" s="4"/>
      <c r="M153" s="4"/>
      <c r="N153" s="4"/>
      <c r="O153" s="8"/>
      <c r="P153" s="4"/>
      <c r="Q153" s="4"/>
      <c r="R153" s="4"/>
      <c r="S153" s="4"/>
      <c r="T153" s="4"/>
      <c r="U153" s="4">
        <f t="shared" si="10"/>
        <v>978000</v>
      </c>
      <c r="V153" s="45"/>
      <c r="W153" s="55"/>
      <c r="X153" s="55"/>
      <c r="Y153" s="56"/>
      <c r="Z153" s="53"/>
      <c r="AA153" s="65"/>
      <c r="AB153" s="65"/>
      <c r="AC153" s="65"/>
      <c r="AD153" s="65"/>
      <c r="AE153" s="65"/>
    </row>
    <row r="154" spans="1:31" x14ac:dyDescent="0.2">
      <c r="A154" s="4" t="s">
        <v>77</v>
      </c>
      <c r="B154" s="4"/>
      <c r="C154" s="4"/>
      <c r="D154" s="4"/>
      <c r="E154" s="4"/>
      <c r="F154" s="4"/>
      <c r="G154" s="4"/>
      <c r="H154" s="4">
        <f>582400/2</f>
        <v>291200</v>
      </c>
      <c r="I154" s="4">
        <f>48000*2/2</f>
        <v>48000</v>
      </c>
      <c r="J154" s="4">
        <f t="shared" si="9"/>
        <v>10000</v>
      </c>
      <c r="K154" s="4"/>
      <c r="L154" s="4"/>
      <c r="M154" s="4"/>
      <c r="N154" s="4"/>
      <c r="O154" s="8"/>
      <c r="P154" s="4"/>
      <c r="Q154" s="4"/>
      <c r="R154" s="4"/>
      <c r="S154" s="4"/>
      <c r="T154" s="4"/>
      <c r="U154" s="4">
        <f t="shared" si="10"/>
        <v>349200</v>
      </c>
      <c r="V154" s="45"/>
      <c r="W154" s="55"/>
      <c r="X154" s="55"/>
      <c r="Y154" s="56"/>
      <c r="Z154" s="53"/>
      <c r="AA154" s="65"/>
      <c r="AB154" s="65"/>
      <c r="AC154" s="65"/>
      <c r="AD154" s="65"/>
      <c r="AE154" s="65"/>
    </row>
    <row r="155" spans="1:31" x14ac:dyDescent="0.2">
      <c r="A155" s="4" t="s">
        <v>78</v>
      </c>
      <c r="B155" s="4"/>
      <c r="C155" s="4"/>
      <c r="D155" s="4"/>
      <c r="E155" s="4"/>
      <c r="F155" s="4"/>
      <c r="G155" s="4"/>
      <c r="H155" s="4">
        <f>1691200/2</f>
        <v>845600</v>
      </c>
      <c r="I155" s="4">
        <f>48000*5/2</f>
        <v>120000</v>
      </c>
      <c r="J155" s="4">
        <f t="shared" si="9"/>
        <v>10000</v>
      </c>
      <c r="K155" s="4"/>
      <c r="L155" s="4"/>
      <c r="M155" s="4"/>
      <c r="N155" s="4"/>
      <c r="O155" s="8"/>
      <c r="P155" s="4"/>
      <c r="Q155" s="4"/>
      <c r="R155" s="4"/>
      <c r="S155" s="4"/>
      <c r="T155" s="4"/>
      <c r="U155" s="4">
        <f t="shared" si="10"/>
        <v>975600</v>
      </c>
      <c r="V155" s="45"/>
      <c r="W155" s="55"/>
      <c r="X155" s="55"/>
      <c r="Y155" s="56"/>
      <c r="Z155" s="53"/>
      <c r="AA155" s="65"/>
      <c r="AB155" s="65"/>
      <c r="AC155" s="65"/>
      <c r="AD155" s="65"/>
      <c r="AE155" s="65"/>
    </row>
    <row r="156" spans="1:31" x14ac:dyDescent="0.2">
      <c r="A156" s="4" t="s">
        <v>79</v>
      </c>
      <c r="B156" s="4"/>
      <c r="C156" s="4"/>
      <c r="D156" s="4"/>
      <c r="E156" s="4"/>
      <c r="F156" s="4"/>
      <c r="G156" s="4"/>
      <c r="H156" s="4">
        <f>1713600/2</f>
        <v>856800</v>
      </c>
      <c r="I156" s="4">
        <f>48000*4/2</f>
        <v>96000</v>
      </c>
      <c r="J156" s="4">
        <f t="shared" si="9"/>
        <v>10000</v>
      </c>
      <c r="K156" s="4"/>
      <c r="L156" s="4"/>
      <c r="M156" s="4"/>
      <c r="N156" s="4"/>
      <c r="O156" s="8"/>
      <c r="P156" s="4"/>
      <c r="Q156" s="4"/>
      <c r="R156" s="4"/>
      <c r="S156" s="4"/>
      <c r="T156" s="4"/>
      <c r="U156" s="4">
        <f t="shared" si="10"/>
        <v>962800</v>
      </c>
      <c r="V156" s="45"/>
      <c r="W156" s="55"/>
      <c r="X156" s="55"/>
      <c r="Y156" s="56"/>
      <c r="Z156" s="53"/>
      <c r="AA156" s="65"/>
      <c r="AB156" s="65"/>
      <c r="AC156" s="65"/>
      <c r="AD156" s="65"/>
      <c r="AE156" s="65"/>
    </row>
    <row r="157" spans="1:31" x14ac:dyDescent="0.2">
      <c r="A157" s="4" t="s">
        <v>80</v>
      </c>
      <c r="B157" s="4"/>
      <c r="C157" s="4"/>
      <c r="D157" s="4"/>
      <c r="E157" s="4"/>
      <c r="F157" s="4"/>
      <c r="G157" s="4"/>
      <c r="H157" s="4">
        <f>1926400/2</f>
        <v>963200</v>
      </c>
      <c r="I157" s="4">
        <f>48000*6/2</f>
        <v>144000</v>
      </c>
      <c r="J157" s="4">
        <f t="shared" si="9"/>
        <v>10000</v>
      </c>
      <c r="K157" s="4"/>
      <c r="L157" s="4"/>
      <c r="M157" s="4"/>
      <c r="N157" s="4"/>
      <c r="O157" s="8"/>
      <c r="P157" s="4"/>
      <c r="Q157" s="4"/>
      <c r="R157" s="4"/>
      <c r="S157" s="4"/>
      <c r="T157" s="4"/>
      <c r="U157" s="4">
        <f t="shared" si="10"/>
        <v>1117200</v>
      </c>
      <c r="V157" s="45"/>
      <c r="W157" s="55"/>
      <c r="X157" s="55"/>
      <c r="Y157" s="56"/>
      <c r="Z157" s="53"/>
      <c r="AA157" s="65"/>
      <c r="AB157" s="65"/>
      <c r="AC157" s="65"/>
      <c r="AD157" s="65"/>
      <c r="AE157" s="65"/>
    </row>
    <row r="158" spans="1:31" x14ac:dyDescent="0.2">
      <c r="A158" s="4" t="s">
        <v>81</v>
      </c>
      <c r="B158" s="4"/>
      <c r="C158" s="4"/>
      <c r="D158" s="4"/>
      <c r="E158" s="4"/>
      <c r="F158" s="4"/>
      <c r="G158" s="4"/>
      <c r="H158" s="4">
        <f>526400/2</f>
        <v>263200</v>
      </c>
      <c r="I158" s="4">
        <f>48000*1/2</f>
        <v>24000</v>
      </c>
      <c r="J158" s="4">
        <f t="shared" si="9"/>
        <v>10000</v>
      </c>
      <c r="K158" s="4"/>
      <c r="L158" s="4"/>
      <c r="M158" s="4"/>
      <c r="N158" s="4"/>
      <c r="O158" s="8"/>
      <c r="P158" s="4"/>
      <c r="Q158" s="4"/>
      <c r="R158" s="4"/>
      <c r="S158" s="4"/>
      <c r="T158" s="4"/>
      <c r="U158" s="4">
        <f t="shared" si="10"/>
        <v>297200</v>
      </c>
      <c r="V158" s="45"/>
      <c r="W158" s="55"/>
      <c r="X158" s="55"/>
      <c r="Y158" s="56"/>
      <c r="Z158" s="53"/>
      <c r="AA158" s="65"/>
      <c r="AB158" s="65"/>
      <c r="AC158" s="65"/>
      <c r="AD158" s="65"/>
      <c r="AE158" s="65"/>
    </row>
    <row r="159" spans="1:31" x14ac:dyDescent="0.2">
      <c r="J159" s="5"/>
      <c r="N159" s="10"/>
      <c r="O159" s="10"/>
      <c r="U159" s="10"/>
      <c r="V159" s="56">
        <f>SUM(V151:V158)</f>
        <v>0</v>
      </c>
      <c r="W159" s="53"/>
      <c r="X159" s="53"/>
      <c r="Y159" s="53"/>
      <c r="Z159" s="53"/>
      <c r="AA159" s="65"/>
      <c r="AB159" s="65"/>
      <c r="AC159" s="65"/>
      <c r="AD159" s="65"/>
      <c r="AE159" s="65"/>
    </row>
    <row r="160" spans="1:31" ht="18.75" x14ac:dyDescent="0.3">
      <c r="A160" s="33" t="s">
        <v>151</v>
      </c>
      <c r="B160" s="33"/>
      <c r="C160" s="33"/>
      <c r="D160" s="33"/>
      <c r="E160" s="33"/>
      <c r="F160" s="33"/>
      <c r="G160" s="33"/>
      <c r="H160" s="44"/>
      <c r="I160" s="33"/>
      <c r="J160" s="33"/>
      <c r="K160" s="33"/>
      <c r="L160" s="33"/>
      <c r="M160" s="33"/>
      <c r="N160" s="44"/>
      <c r="O160" s="33"/>
      <c r="P160" s="33"/>
      <c r="Q160" s="33"/>
      <c r="R160" s="33"/>
      <c r="S160" s="33"/>
      <c r="T160" s="33"/>
      <c r="U160" s="43"/>
      <c r="V160" s="53"/>
      <c r="W160" s="53"/>
      <c r="X160" s="53"/>
      <c r="Y160" s="53"/>
      <c r="Z160" s="53"/>
      <c r="AA160" s="65"/>
      <c r="AB160" s="65"/>
      <c r="AC160" s="65"/>
      <c r="AD160" s="65"/>
      <c r="AE160" s="65"/>
    </row>
    <row r="161" spans="1:31" ht="14.25" x14ac:dyDescent="0.25">
      <c r="A161" s="50" t="s">
        <v>174</v>
      </c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</row>
    <row r="162" spans="1:31" ht="14.25" x14ac:dyDescent="0.25">
      <c r="A162" s="50" t="s">
        <v>177</v>
      </c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</row>
    <row r="163" spans="1:31" ht="14.25" x14ac:dyDescent="0.25">
      <c r="A163" s="50" t="s">
        <v>175</v>
      </c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</row>
    <row r="164" spans="1:31" ht="14.25" x14ac:dyDescent="0.25">
      <c r="A164" s="50" t="s">
        <v>178</v>
      </c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</row>
    <row r="165" spans="1:31" ht="14.25" x14ac:dyDescent="0.25">
      <c r="A165" s="50" t="s">
        <v>180</v>
      </c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</row>
    <row r="166" spans="1:31" ht="14.25" x14ac:dyDescent="0.25">
      <c r="A166" s="50" t="s">
        <v>179</v>
      </c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</row>
    <row r="167" spans="1:31" ht="14.25" x14ac:dyDescent="0.25">
      <c r="A167" s="50" t="s">
        <v>176</v>
      </c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</row>
    <row r="168" spans="1:31" ht="14.25" x14ac:dyDescent="0.25">
      <c r="A168" s="50" t="s">
        <v>182</v>
      </c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</row>
    <row r="169" spans="1:31" ht="14.25" x14ac:dyDescent="0.25">
      <c r="A169" s="50" t="s">
        <v>181</v>
      </c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</row>
    <row r="170" spans="1:31" ht="14.25" x14ac:dyDescent="0.25">
      <c r="A170" s="50" t="s">
        <v>166</v>
      </c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</row>
    <row r="171" spans="1:31" ht="14.25" x14ac:dyDescent="0.25">
      <c r="A171" s="50" t="s">
        <v>167</v>
      </c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</row>
    <row r="172" spans="1:31" x14ac:dyDescent="0.2">
      <c r="A172" s="79"/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</row>
    <row r="173" spans="1:31" ht="17.25" x14ac:dyDescent="0.3">
      <c r="A173" s="94" t="s">
        <v>184</v>
      </c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</row>
    <row r="174" spans="1:31" x14ac:dyDescent="0.2">
      <c r="A174" s="79"/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</row>
    <row r="175" spans="1:31" x14ac:dyDescent="0.2"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</row>
    <row r="176" spans="1:31" x14ac:dyDescent="0.2"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</row>
    <row r="177" spans="1:31" x14ac:dyDescent="0.2"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</row>
    <row r="178" spans="1:31" x14ac:dyDescent="0.2"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</row>
    <row r="179" spans="1:31" x14ac:dyDescent="0.2"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</row>
    <row r="180" spans="1:31" x14ac:dyDescent="0.2"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</row>
    <row r="181" spans="1:31" x14ac:dyDescent="0.2"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</row>
    <row r="182" spans="1:31" x14ac:dyDescent="0.2"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</row>
    <row r="183" spans="1:31" x14ac:dyDescent="0.2">
      <c r="A183" s="6" t="s">
        <v>5</v>
      </c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</row>
    <row r="184" spans="1:31" x14ac:dyDescent="0.2">
      <c r="A184" s="14" t="s">
        <v>0</v>
      </c>
      <c r="B184" s="14" t="s">
        <v>46</v>
      </c>
      <c r="C184" s="14" t="s">
        <v>26</v>
      </c>
      <c r="D184" s="14" t="s">
        <v>46</v>
      </c>
      <c r="E184" s="14" t="s">
        <v>28</v>
      </c>
      <c r="F184" s="14" t="s">
        <v>43</v>
      </c>
      <c r="G184" s="14" t="s">
        <v>43</v>
      </c>
      <c r="H184" s="14" t="s">
        <v>14</v>
      </c>
      <c r="I184" s="14" t="s">
        <v>138</v>
      </c>
      <c r="J184" s="14" t="s">
        <v>30</v>
      </c>
      <c r="K184" s="14" t="s">
        <v>135</v>
      </c>
      <c r="L184" s="14" t="s">
        <v>13</v>
      </c>
      <c r="M184" s="14" t="s">
        <v>13</v>
      </c>
      <c r="N184" s="14" t="s">
        <v>31</v>
      </c>
      <c r="O184" s="14" t="s">
        <v>33</v>
      </c>
      <c r="P184" s="14" t="s">
        <v>33</v>
      </c>
      <c r="Q184" s="14" t="s">
        <v>145</v>
      </c>
      <c r="R184" s="14" t="s">
        <v>35</v>
      </c>
      <c r="S184" s="34" t="s">
        <v>37</v>
      </c>
      <c r="T184" s="14" t="s">
        <v>39</v>
      </c>
      <c r="U184" s="14" t="s">
        <v>41</v>
      </c>
      <c r="V184" s="53"/>
      <c r="W184" s="52" t="s">
        <v>30</v>
      </c>
      <c r="X184" s="52" t="s">
        <v>31</v>
      </c>
      <c r="Y184" s="53"/>
      <c r="Z184" s="53"/>
      <c r="AA184" s="65"/>
      <c r="AB184" s="65"/>
      <c r="AC184" s="65"/>
      <c r="AD184" s="65"/>
      <c r="AE184" s="65"/>
    </row>
    <row r="185" spans="1:31" ht="13.5" thickBot="1" x14ac:dyDescent="0.25">
      <c r="A185" s="18"/>
      <c r="B185" s="18" t="s">
        <v>48</v>
      </c>
      <c r="C185" s="18" t="s">
        <v>27</v>
      </c>
      <c r="D185" s="18" t="s">
        <v>47</v>
      </c>
      <c r="E185" s="18" t="s">
        <v>29</v>
      </c>
      <c r="F185" s="18" t="s">
        <v>44</v>
      </c>
      <c r="G185" s="18" t="s">
        <v>45</v>
      </c>
      <c r="H185" s="21" t="s">
        <v>137</v>
      </c>
      <c r="I185" s="18" t="s">
        <v>139</v>
      </c>
      <c r="J185" s="18" t="s">
        <v>146</v>
      </c>
      <c r="K185" s="18" t="s">
        <v>136</v>
      </c>
      <c r="L185" s="18" t="s">
        <v>134</v>
      </c>
      <c r="M185" s="18" t="s">
        <v>160</v>
      </c>
      <c r="N185" s="18" t="s">
        <v>32</v>
      </c>
      <c r="O185" s="18" t="s">
        <v>34</v>
      </c>
      <c r="P185" s="18" t="s">
        <v>133</v>
      </c>
      <c r="Q185" s="42" t="s">
        <v>144</v>
      </c>
      <c r="R185" s="18" t="s">
        <v>36</v>
      </c>
      <c r="S185" s="35" t="s">
        <v>38</v>
      </c>
      <c r="T185" s="18" t="s">
        <v>40</v>
      </c>
      <c r="U185" s="18" t="s">
        <v>42</v>
      </c>
      <c r="V185" s="53"/>
      <c r="W185" s="52" t="s">
        <v>146</v>
      </c>
      <c r="X185" s="52" t="s">
        <v>32</v>
      </c>
      <c r="Y185" s="53"/>
      <c r="Z185" s="53"/>
      <c r="AA185" s="65"/>
      <c r="AB185" s="65"/>
      <c r="AC185" s="65"/>
      <c r="AD185" s="65"/>
      <c r="AE185" s="65"/>
    </row>
    <row r="186" spans="1:31" ht="13.5" thickBot="1" x14ac:dyDescent="0.25">
      <c r="A186" s="24" t="s">
        <v>20</v>
      </c>
      <c r="B186" s="25"/>
      <c r="C186" s="25"/>
      <c r="D186" s="25"/>
      <c r="E186" s="25"/>
      <c r="F186" s="25"/>
      <c r="G186" s="25"/>
      <c r="H186" s="27">
        <f>H188+H189+H190+H191+H192+H193+H194+H195+H196+H197+H198+H199</f>
        <v>6641600</v>
      </c>
      <c r="I186" s="26">
        <f>I188+I189+I190+I191+I192+I193+I194+I195+I196+I197+I198+I199</f>
        <v>1080000</v>
      </c>
      <c r="J186" s="27">
        <f>J187+J188+J189+J190+J191+J192+J193+J194+J195+J196+J197+J198+J199</f>
        <v>150000</v>
      </c>
      <c r="K186" s="25"/>
      <c r="L186" s="25"/>
      <c r="M186" s="25"/>
      <c r="N186" s="27"/>
      <c r="O186" s="27"/>
      <c r="P186" s="25"/>
      <c r="Q186" s="29"/>
      <c r="R186" s="25"/>
      <c r="S186" s="25"/>
      <c r="T186" s="25"/>
      <c r="U186" s="31">
        <f>H186+I186+J186+N186+O186</f>
        <v>7871600</v>
      </c>
      <c r="V186" s="53"/>
      <c r="W186" s="54">
        <f>W187+W188+W189+W190+W191+W192+W193+W194+W195+W196+W197+W198+W199</f>
        <v>60000</v>
      </c>
      <c r="X186" s="54">
        <f>X188+X189+X190+X191+X192+X193+X194+X195+X196+X197+X198+X199</f>
        <v>0</v>
      </c>
      <c r="Y186" s="53"/>
      <c r="Z186" s="53"/>
      <c r="AA186" s="65"/>
      <c r="AB186" s="65"/>
      <c r="AC186" s="65"/>
      <c r="AD186" s="65"/>
      <c r="AE186" s="65"/>
    </row>
    <row r="187" spans="1:31" x14ac:dyDescent="0.2">
      <c r="A187" s="19" t="s">
        <v>147</v>
      </c>
      <c r="B187" s="19"/>
      <c r="C187" s="19"/>
      <c r="D187" s="19"/>
      <c r="E187" s="19"/>
      <c r="F187" s="19"/>
      <c r="G187" s="19"/>
      <c r="H187" s="23"/>
      <c r="I187" s="36"/>
      <c r="J187" s="19">
        <f>60000/2</f>
        <v>30000</v>
      </c>
      <c r="K187" s="19"/>
      <c r="L187" s="19"/>
      <c r="M187" s="19"/>
      <c r="N187" s="23"/>
      <c r="O187" s="23"/>
      <c r="P187" s="19"/>
      <c r="Q187" s="23"/>
      <c r="R187" s="19"/>
      <c r="S187" s="19"/>
      <c r="T187" s="19"/>
      <c r="U187" s="39">
        <f t="shared" ref="U187" si="11">H187+I187+J187+N187+O187</f>
        <v>30000</v>
      </c>
      <c r="V187" s="53"/>
      <c r="W187" s="55">
        <v>60000</v>
      </c>
      <c r="X187" s="55"/>
      <c r="Y187" s="53"/>
      <c r="Z187" s="53"/>
      <c r="AA187" s="65"/>
      <c r="AB187" s="65"/>
      <c r="AC187" s="65"/>
      <c r="AD187" s="65"/>
      <c r="AE187" s="65"/>
    </row>
    <row r="188" spans="1:31" x14ac:dyDescent="0.2">
      <c r="A188" s="4" t="s">
        <v>82</v>
      </c>
      <c r="B188" s="4"/>
      <c r="C188" s="4"/>
      <c r="D188" s="4"/>
      <c r="E188" s="4"/>
      <c r="F188" s="4"/>
      <c r="G188" s="4"/>
      <c r="H188" s="4">
        <f>1220800/2</f>
        <v>610400</v>
      </c>
      <c r="I188" s="4">
        <f>48000*6/2</f>
        <v>144000</v>
      </c>
      <c r="J188" s="4">
        <f>20000/2</f>
        <v>10000</v>
      </c>
      <c r="K188" s="4"/>
      <c r="L188" s="4"/>
      <c r="M188" s="4"/>
      <c r="N188" s="4"/>
      <c r="O188" s="8"/>
      <c r="P188" s="4"/>
      <c r="Q188" s="4"/>
      <c r="R188" s="4"/>
      <c r="S188" s="4"/>
      <c r="T188" s="4"/>
      <c r="U188" s="40">
        <f>H188+I188+J188</f>
        <v>764400</v>
      </c>
      <c r="V188" s="45"/>
      <c r="W188" s="55"/>
      <c r="X188" s="55"/>
      <c r="Y188" s="53"/>
      <c r="Z188" s="53"/>
      <c r="AA188" s="65"/>
      <c r="AB188" s="65"/>
      <c r="AC188" s="65"/>
      <c r="AD188" s="65"/>
      <c r="AE188" s="65"/>
    </row>
    <row r="189" spans="1:31" x14ac:dyDescent="0.2">
      <c r="A189" s="4" t="s">
        <v>83</v>
      </c>
      <c r="B189" s="4"/>
      <c r="C189" s="4"/>
      <c r="D189" s="4"/>
      <c r="E189" s="4"/>
      <c r="F189" s="4"/>
      <c r="G189" s="4"/>
      <c r="H189" s="4">
        <f>1680000/2</f>
        <v>840000</v>
      </c>
      <c r="I189" s="4">
        <f>48000*9/2</f>
        <v>216000</v>
      </c>
      <c r="J189" s="4">
        <f t="shared" ref="J189:J199" si="12">20000/2</f>
        <v>10000</v>
      </c>
      <c r="K189" s="4"/>
      <c r="L189" s="4"/>
      <c r="M189" s="4"/>
      <c r="N189" s="4"/>
      <c r="O189" s="8"/>
      <c r="P189" s="4"/>
      <c r="Q189" s="4"/>
      <c r="R189" s="4"/>
      <c r="S189" s="4"/>
      <c r="T189" s="4"/>
      <c r="U189" s="40">
        <f t="shared" ref="U189:U199" si="13">H189+I189+J189</f>
        <v>1066000</v>
      </c>
      <c r="V189" s="45"/>
      <c r="W189" s="55"/>
      <c r="X189" s="55"/>
      <c r="Y189" s="53"/>
      <c r="Z189" s="53"/>
      <c r="AA189" s="65"/>
      <c r="AB189" s="65"/>
      <c r="AC189" s="65"/>
      <c r="AD189" s="65"/>
      <c r="AE189" s="65"/>
    </row>
    <row r="190" spans="1:31" x14ac:dyDescent="0.2">
      <c r="A190" s="4" t="s">
        <v>84</v>
      </c>
      <c r="B190" s="4"/>
      <c r="C190" s="4"/>
      <c r="D190" s="4"/>
      <c r="E190" s="4"/>
      <c r="F190" s="4"/>
      <c r="G190" s="4"/>
      <c r="H190" s="4">
        <f>985600/2</f>
        <v>492800</v>
      </c>
      <c r="I190" s="4">
        <f>48000*3/2</f>
        <v>72000</v>
      </c>
      <c r="J190" s="4">
        <f t="shared" si="12"/>
        <v>10000</v>
      </c>
      <c r="K190" s="4"/>
      <c r="L190" s="4"/>
      <c r="M190" s="4"/>
      <c r="N190" s="4"/>
      <c r="O190" s="8"/>
      <c r="P190" s="4"/>
      <c r="Q190" s="4"/>
      <c r="R190" s="4"/>
      <c r="S190" s="4"/>
      <c r="T190" s="4"/>
      <c r="U190" s="40">
        <f t="shared" si="13"/>
        <v>574800</v>
      </c>
      <c r="V190" s="45"/>
      <c r="W190" s="55"/>
      <c r="X190" s="55"/>
      <c r="Y190" s="53"/>
      <c r="Z190" s="53"/>
      <c r="AA190" s="65"/>
      <c r="AB190" s="65"/>
      <c r="AC190" s="65"/>
      <c r="AD190" s="65"/>
      <c r="AE190" s="65"/>
    </row>
    <row r="191" spans="1:31" x14ac:dyDescent="0.2">
      <c r="A191" s="4" t="s">
        <v>85</v>
      </c>
      <c r="B191" s="4"/>
      <c r="C191" s="4"/>
      <c r="D191" s="4"/>
      <c r="E191" s="4"/>
      <c r="F191" s="4"/>
      <c r="G191" s="4"/>
      <c r="H191" s="4">
        <f>683200/2</f>
        <v>341600</v>
      </c>
      <c r="I191" s="4">
        <f>48000*1/2</f>
        <v>24000</v>
      </c>
      <c r="J191" s="4">
        <f t="shared" si="12"/>
        <v>10000</v>
      </c>
      <c r="K191" s="4"/>
      <c r="L191" s="4"/>
      <c r="M191" s="4"/>
      <c r="N191" s="4"/>
      <c r="O191" s="8"/>
      <c r="P191" s="4"/>
      <c r="Q191" s="4"/>
      <c r="R191" s="4"/>
      <c r="S191" s="4"/>
      <c r="T191" s="4"/>
      <c r="U191" s="40">
        <f t="shared" si="13"/>
        <v>375600</v>
      </c>
      <c r="V191" s="45"/>
      <c r="W191" s="55"/>
      <c r="X191" s="55"/>
      <c r="Y191" s="53"/>
      <c r="Z191" s="53"/>
      <c r="AA191" s="65"/>
      <c r="AB191" s="65"/>
      <c r="AC191" s="65"/>
      <c r="AD191" s="65"/>
      <c r="AE191" s="65"/>
    </row>
    <row r="192" spans="1:31" x14ac:dyDescent="0.2">
      <c r="A192" s="4" t="s">
        <v>86</v>
      </c>
      <c r="B192" s="4"/>
      <c r="C192" s="4"/>
      <c r="D192" s="4"/>
      <c r="E192" s="4"/>
      <c r="F192" s="4"/>
      <c r="G192" s="4"/>
      <c r="H192" s="4">
        <f>1232000/2</f>
        <v>616000</v>
      </c>
      <c r="I192" s="4">
        <f>48000*5/2</f>
        <v>120000</v>
      </c>
      <c r="J192" s="4">
        <f t="shared" si="12"/>
        <v>10000</v>
      </c>
      <c r="K192" s="4"/>
      <c r="L192" s="4"/>
      <c r="M192" s="4"/>
      <c r="N192" s="4"/>
      <c r="O192" s="8"/>
      <c r="P192" s="4"/>
      <c r="Q192" s="4"/>
      <c r="R192" s="4"/>
      <c r="S192" s="4"/>
      <c r="T192" s="4"/>
      <c r="U192" s="40">
        <f t="shared" si="13"/>
        <v>746000</v>
      </c>
      <c r="V192" s="45"/>
      <c r="W192" s="55"/>
      <c r="X192" s="55"/>
      <c r="Y192" s="53"/>
      <c r="Z192" s="53"/>
      <c r="AA192" s="65"/>
      <c r="AB192" s="65"/>
      <c r="AC192" s="65"/>
      <c r="AD192" s="65"/>
      <c r="AE192" s="65"/>
    </row>
    <row r="193" spans="1:31" x14ac:dyDescent="0.2">
      <c r="A193" s="4" t="s">
        <v>87</v>
      </c>
      <c r="B193" s="4"/>
      <c r="C193" s="4"/>
      <c r="D193" s="4"/>
      <c r="E193" s="4"/>
      <c r="F193" s="4"/>
      <c r="G193" s="4"/>
      <c r="H193" s="4">
        <f>716800/2</f>
        <v>358400</v>
      </c>
      <c r="I193" s="4">
        <f>48000*1/2</f>
        <v>24000</v>
      </c>
      <c r="J193" s="4">
        <f t="shared" si="12"/>
        <v>10000</v>
      </c>
      <c r="K193" s="4"/>
      <c r="L193" s="4"/>
      <c r="M193" s="4"/>
      <c r="N193" s="4"/>
      <c r="O193" s="8"/>
      <c r="P193" s="4"/>
      <c r="Q193" s="4"/>
      <c r="R193" s="4"/>
      <c r="S193" s="4"/>
      <c r="T193" s="4"/>
      <c r="U193" s="40">
        <f t="shared" si="13"/>
        <v>392400</v>
      </c>
      <c r="V193" s="45"/>
      <c r="W193" s="55"/>
      <c r="X193" s="55"/>
      <c r="Y193" s="53"/>
      <c r="Z193" s="53"/>
      <c r="AA193" s="65"/>
      <c r="AB193" s="65"/>
      <c r="AC193" s="65"/>
      <c r="AD193" s="65"/>
      <c r="AE193" s="65"/>
    </row>
    <row r="194" spans="1:31" x14ac:dyDescent="0.2">
      <c r="A194" s="4" t="s">
        <v>88</v>
      </c>
      <c r="B194" s="4"/>
      <c r="C194" s="4"/>
      <c r="D194" s="4"/>
      <c r="E194" s="4"/>
      <c r="F194" s="4"/>
      <c r="G194" s="4"/>
      <c r="H194" s="4">
        <f>1691200/2</f>
        <v>845600</v>
      </c>
      <c r="I194" s="4">
        <f>48000*5/2</f>
        <v>120000</v>
      </c>
      <c r="J194" s="4">
        <f t="shared" si="12"/>
        <v>10000</v>
      </c>
      <c r="K194" s="4"/>
      <c r="L194" s="4"/>
      <c r="M194" s="4"/>
      <c r="N194" s="4"/>
      <c r="O194" s="8"/>
      <c r="P194" s="4"/>
      <c r="Q194" s="4"/>
      <c r="R194" s="4"/>
      <c r="S194" s="4"/>
      <c r="T194" s="4"/>
      <c r="U194" s="40">
        <f t="shared" si="13"/>
        <v>975600</v>
      </c>
      <c r="V194" s="45"/>
      <c r="W194" s="55"/>
      <c r="X194" s="55"/>
      <c r="Y194" s="53"/>
      <c r="Z194" s="53"/>
      <c r="AA194" s="65"/>
      <c r="AB194" s="65"/>
      <c r="AC194" s="65"/>
      <c r="AD194" s="65"/>
      <c r="AE194" s="65"/>
    </row>
    <row r="195" spans="1:31" x14ac:dyDescent="0.2">
      <c r="A195" s="4" t="s">
        <v>89</v>
      </c>
      <c r="B195" s="4"/>
      <c r="C195" s="4"/>
      <c r="D195" s="4"/>
      <c r="E195" s="4"/>
      <c r="F195" s="4"/>
      <c r="G195" s="4"/>
      <c r="H195" s="4">
        <f>1064000/2</f>
        <v>532000</v>
      </c>
      <c r="I195" s="4">
        <f>48000*3/2</f>
        <v>72000</v>
      </c>
      <c r="J195" s="4">
        <f t="shared" si="12"/>
        <v>10000</v>
      </c>
      <c r="K195" s="4"/>
      <c r="L195" s="4"/>
      <c r="M195" s="4"/>
      <c r="N195" s="4"/>
      <c r="O195" s="8"/>
      <c r="P195" s="4"/>
      <c r="Q195" s="4"/>
      <c r="R195" s="4"/>
      <c r="S195" s="4"/>
      <c r="T195" s="4"/>
      <c r="U195" s="40">
        <f t="shared" si="13"/>
        <v>614000</v>
      </c>
      <c r="V195" s="45"/>
      <c r="W195" s="55"/>
      <c r="X195" s="55"/>
      <c r="Y195" s="53"/>
      <c r="Z195" s="53"/>
      <c r="AA195" s="65"/>
      <c r="AB195" s="65"/>
      <c r="AC195" s="65"/>
      <c r="AD195" s="65"/>
      <c r="AE195" s="65"/>
    </row>
    <row r="196" spans="1:31" x14ac:dyDescent="0.2">
      <c r="A196" s="4" t="s">
        <v>90</v>
      </c>
      <c r="B196" s="4"/>
      <c r="C196" s="4"/>
      <c r="D196" s="4"/>
      <c r="E196" s="4"/>
      <c r="F196" s="4"/>
      <c r="G196" s="4"/>
      <c r="H196" s="4">
        <f>1601600/2</f>
        <v>800800</v>
      </c>
      <c r="I196" s="4">
        <f>48000*3/2</f>
        <v>72000</v>
      </c>
      <c r="J196" s="4">
        <f t="shared" si="12"/>
        <v>10000</v>
      </c>
      <c r="K196" s="4"/>
      <c r="L196" s="4"/>
      <c r="M196" s="4"/>
      <c r="N196" s="4"/>
      <c r="O196" s="8"/>
      <c r="P196" s="4"/>
      <c r="Q196" s="4"/>
      <c r="R196" s="4"/>
      <c r="S196" s="4"/>
      <c r="T196" s="4"/>
      <c r="U196" s="40">
        <f t="shared" si="13"/>
        <v>882800</v>
      </c>
      <c r="V196" s="45"/>
      <c r="W196" s="55"/>
      <c r="X196" s="55"/>
      <c r="Y196" s="53"/>
      <c r="Z196" s="53"/>
      <c r="AA196" s="65"/>
      <c r="AB196" s="65"/>
      <c r="AC196" s="65"/>
      <c r="AD196" s="65"/>
      <c r="AE196" s="65"/>
    </row>
    <row r="197" spans="1:31" x14ac:dyDescent="0.2">
      <c r="A197" s="4" t="s">
        <v>91</v>
      </c>
      <c r="B197" s="4"/>
      <c r="C197" s="4"/>
      <c r="D197" s="4"/>
      <c r="E197" s="4"/>
      <c r="F197" s="4"/>
      <c r="G197" s="4"/>
      <c r="H197" s="4">
        <f>750400/2</f>
        <v>375200</v>
      </c>
      <c r="I197" s="4">
        <f>48000*2/2</f>
        <v>48000</v>
      </c>
      <c r="J197" s="4">
        <f t="shared" si="12"/>
        <v>10000</v>
      </c>
      <c r="K197" s="4"/>
      <c r="L197" s="4"/>
      <c r="M197" s="4"/>
      <c r="N197" s="4"/>
      <c r="O197" s="8"/>
      <c r="P197" s="4"/>
      <c r="Q197" s="4"/>
      <c r="R197" s="4"/>
      <c r="S197" s="4"/>
      <c r="T197" s="4"/>
      <c r="U197" s="40">
        <f t="shared" si="13"/>
        <v>433200</v>
      </c>
      <c r="V197" s="45"/>
      <c r="W197" s="55"/>
      <c r="X197" s="55"/>
      <c r="Y197" s="53"/>
      <c r="Z197" s="53"/>
      <c r="AA197" s="65"/>
      <c r="AB197" s="65"/>
      <c r="AC197" s="65"/>
      <c r="AD197" s="65"/>
      <c r="AE197" s="65"/>
    </row>
    <row r="198" spans="1:31" x14ac:dyDescent="0.2">
      <c r="A198" s="4" t="s">
        <v>92</v>
      </c>
      <c r="B198" s="4"/>
      <c r="C198" s="4"/>
      <c r="D198" s="4"/>
      <c r="E198" s="4"/>
      <c r="F198" s="4"/>
      <c r="G198" s="4"/>
      <c r="H198" s="4">
        <f>369600/2</f>
        <v>184800</v>
      </c>
      <c r="I198" s="4">
        <f>48000*2/2</f>
        <v>48000</v>
      </c>
      <c r="J198" s="4">
        <f t="shared" si="12"/>
        <v>10000</v>
      </c>
      <c r="K198" s="4"/>
      <c r="L198" s="4"/>
      <c r="M198" s="4"/>
      <c r="N198" s="4"/>
      <c r="O198" s="8"/>
      <c r="P198" s="4"/>
      <c r="Q198" s="4"/>
      <c r="R198" s="4"/>
      <c r="S198" s="4"/>
      <c r="T198" s="4"/>
      <c r="U198" s="40">
        <f t="shared" si="13"/>
        <v>242800</v>
      </c>
      <c r="V198" s="45"/>
      <c r="W198" s="55"/>
      <c r="X198" s="55"/>
      <c r="Y198" s="53"/>
      <c r="Z198" s="53"/>
      <c r="AA198" s="65"/>
      <c r="AB198" s="65"/>
      <c r="AC198" s="65"/>
      <c r="AD198" s="65"/>
      <c r="AE198" s="65"/>
    </row>
    <row r="199" spans="1:31" x14ac:dyDescent="0.2">
      <c r="A199" s="4" t="s">
        <v>93</v>
      </c>
      <c r="B199" s="4"/>
      <c r="C199" s="4"/>
      <c r="D199" s="4"/>
      <c r="E199" s="4"/>
      <c r="F199" s="4"/>
      <c r="G199" s="4"/>
      <c r="H199" s="4">
        <f>1288000/2</f>
        <v>644000</v>
      </c>
      <c r="I199" s="4">
        <f>48000*5/2</f>
        <v>120000</v>
      </c>
      <c r="J199" s="4">
        <f t="shared" si="12"/>
        <v>10000</v>
      </c>
      <c r="K199" s="4"/>
      <c r="L199" s="4"/>
      <c r="M199" s="4"/>
      <c r="N199" s="4"/>
      <c r="O199" s="8"/>
      <c r="P199" s="4"/>
      <c r="Q199" s="4"/>
      <c r="R199" s="4"/>
      <c r="S199" s="4"/>
      <c r="T199" s="4"/>
      <c r="U199" s="40">
        <f t="shared" si="13"/>
        <v>774000</v>
      </c>
      <c r="V199" s="45"/>
      <c r="W199" s="55"/>
      <c r="X199" s="55"/>
      <c r="Y199" s="53"/>
      <c r="Z199" s="53"/>
      <c r="AA199" s="65"/>
      <c r="AB199" s="65"/>
      <c r="AC199" s="65"/>
      <c r="AD199" s="65"/>
      <c r="AE199" s="65"/>
    </row>
    <row r="200" spans="1:31" ht="18.75" x14ac:dyDescent="0.3">
      <c r="A200" s="33" t="s">
        <v>151</v>
      </c>
      <c r="B200" s="33"/>
      <c r="C200" s="33"/>
      <c r="D200" s="33"/>
      <c r="E200" s="33"/>
      <c r="F200" s="33"/>
      <c r="G200" s="33"/>
      <c r="H200" s="44"/>
      <c r="I200" s="33"/>
      <c r="J200" s="33"/>
      <c r="K200" s="33"/>
      <c r="L200" s="33"/>
      <c r="M200" s="33"/>
      <c r="N200" s="44"/>
      <c r="O200" s="33"/>
      <c r="P200" s="33"/>
      <c r="Q200" s="33"/>
      <c r="R200" s="33"/>
      <c r="S200" s="33"/>
      <c r="T200" s="33"/>
      <c r="U200" s="43"/>
      <c r="V200" s="56">
        <f>SUM(V188:V199)</f>
        <v>0</v>
      </c>
      <c r="W200" s="53"/>
      <c r="X200" s="53"/>
      <c r="Y200" s="53"/>
      <c r="Z200" s="53"/>
      <c r="AA200" s="65"/>
      <c r="AB200" s="65"/>
      <c r="AC200" s="65"/>
      <c r="AD200" s="65"/>
      <c r="AE200" s="65"/>
    </row>
    <row r="201" spans="1:31" ht="14.25" x14ac:dyDescent="0.25">
      <c r="A201" s="50" t="s">
        <v>174</v>
      </c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</row>
    <row r="202" spans="1:31" ht="14.25" x14ac:dyDescent="0.25">
      <c r="A202" s="50" t="s">
        <v>177</v>
      </c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</row>
    <row r="203" spans="1:31" ht="14.25" x14ac:dyDescent="0.25">
      <c r="A203" s="50" t="s">
        <v>175</v>
      </c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</row>
    <row r="204" spans="1:31" ht="14.25" x14ac:dyDescent="0.25">
      <c r="A204" s="50" t="s">
        <v>178</v>
      </c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</row>
    <row r="205" spans="1:31" ht="14.25" x14ac:dyDescent="0.25">
      <c r="A205" s="50" t="s">
        <v>180</v>
      </c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</row>
    <row r="206" spans="1:31" ht="14.25" x14ac:dyDescent="0.25">
      <c r="A206" s="50" t="s">
        <v>179</v>
      </c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</row>
    <row r="207" spans="1:31" ht="14.25" x14ac:dyDescent="0.25">
      <c r="A207" s="50" t="s">
        <v>176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</row>
    <row r="208" spans="1:31" ht="14.25" x14ac:dyDescent="0.25">
      <c r="A208" s="50" t="s">
        <v>182</v>
      </c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</row>
    <row r="209" spans="1:31" ht="14.25" x14ac:dyDescent="0.25">
      <c r="A209" s="50" t="s">
        <v>181</v>
      </c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</row>
    <row r="210" spans="1:31" ht="14.25" x14ac:dyDescent="0.25">
      <c r="A210" s="50" t="s">
        <v>166</v>
      </c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</row>
    <row r="211" spans="1:31" ht="14.25" x14ac:dyDescent="0.25">
      <c r="A211" s="50" t="s">
        <v>167</v>
      </c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</row>
    <row r="212" spans="1:31" ht="14.25" x14ac:dyDescent="0.25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0"/>
      <c r="O212" s="50"/>
      <c r="P212" s="50"/>
      <c r="Q212" s="50"/>
      <c r="R212" s="50"/>
      <c r="S212" s="50"/>
      <c r="T212" s="50"/>
      <c r="U212" s="50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</row>
    <row r="213" spans="1:31" ht="17.25" x14ac:dyDescent="0.3">
      <c r="A213" s="94" t="s">
        <v>184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0"/>
      <c r="O213" s="50"/>
      <c r="P213" s="50"/>
      <c r="Q213" s="50"/>
      <c r="R213" s="50"/>
      <c r="S213" s="50"/>
      <c r="T213" s="50"/>
      <c r="U213" s="50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</row>
    <row r="214" spans="1:31" ht="14.25" x14ac:dyDescent="0.25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0"/>
      <c r="O214" s="50"/>
      <c r="P214" s="50"/>
      <c r="Q214" s="50"/>
      <c r="R214" s="50"/>
      <c r="S214" s="50"/>
      <c r="T214" s="50"/>
      <c r="U214" s="50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</row>
    <row r="215" spans="1:31" ht="14.25" x14ac:dyDescent="0.25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0"/>
      <c r="O215" s="50"/>
      <c r="P215" s="50"/>
      <c r="Q215" s="50"/>
      <c r="R215" s="50"/>
      <c r="S215" s="50"/>
      <c r="T215" s="50"/>
      <c r="U215" s="50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</row>
    <row r="216" spans="1:31" ht="14.25" x14ac:dyDescent="0.2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0"/>
      <c r="O216" s="50"/>
      <c r="P216" s="50"/>
      <c r="Q216" s="50"/>
      <c r="R216" s="50"/>
      <c r="S216" s="50"/>
      <c r="T216" s="50"/>
      <c r="U216" s="50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</row>
    <row r="217" spans="1:31" ht="14.25" x14ac:dyDescent="0.25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0"/>
      <c r="O217" s="50"/>
      <c r="P217" s="50"/>
      <c r="Q217" s="50"/>
      <c r="R217" s="50"/>
      <c r="S217" s="50"/>
      <c r="T217" s="50"/>
      <c r="U217" s="50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</row>
    <row r="218" spans="1:31" ht="14.25" x14ac:dyDescent="0.25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0"/>
      <c r="O218" s="50"/>
      <c r="P218" s="50"/>
      <c r="Q218" s="50"/>
      <c r="R218" s="50"/>
      <c r="S218" s="50"/>
      <c r="T218" s="50"/>
      <c r="U218" s="50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</row>
    <row r="219" spans="1:31" x14ac:dyDescent="0.2"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</row>
    <row r="220" spans="1:31" x14ac:dyDescent="0.2">
      <c r="A220" s="6" t="s">
        <v>6</v>
      </c>
      <c r="V220" s="53"/>
      <c r="W220" s="53"/>
      <c r="X220" s="53"/>
      <c r="Y220" s="53"/>
      <c r="Z220" s="65"/>
      <c r="AA220" s="65"/>
      <c r="AB220" s="65"/>
      <c r="AC220" s="65"/>
      <c r="AD220" s="65"/>
      <c r="AE220" s="65"/>
    </row>
    <row r="221" spans="1:31" x14ac:dyDescent="0.2">
      <c r="A221" s="14" t="s">
        <v>0</v>
      </c>
      <c r="B221" s="14" t="s">
        <v>46</v>
      </c>
      <c r="C221" s="14" t="s">
        <v>26</v>
      </c>
      <c r="D221" s="14" t="s">
        <v>46</v>
      </c>
      <c r="E221" s="14" t="s">
        <v>28</v>
      </c>
      <c r="F221" s="14" t="s">
        <v>43</v>
      </c>
      <c r="G221" s="14" t="s">
        <v>43</v>
      </c>
      <c r="H221" s="14" t="s">
        <v>14</v>
      </c>
      <c r="I221" s="14" t="s">
        <v>138</v>
      </c>
      <c r="J221" s="14" t="s">
        <v>30</v>
      </c>
      <c r="K221" s="14" t="s">
        <v>135</v>
      </c>
      <c r="L221" s="14" t="s">
        <v>13</v>
      </c>
      <c r="M221" s="14" t="s">
        <v>13</v>
      </c>
      <c r="N221" s="14" t="s">
        <v>31</v>
      </c>
      <c r="O221" s="14" t="s">
        <v>33</v>
      </c>
      <c r="P221" s="14" t="s">
        <v>33</v>
      </c>
      <c r="Q221" s="14" t="s">
        <v>145</v>
      </c>
      <c r="R221" s="14" t="s">
        <v>35</v>
      </c>
      <c r="S221" s="34" t="s">
        <v>37</v>
      </c>
      <c r="T221" s="14" t="s">
        <v>39</v>
      </c>
      <c r="U221" s="14" t="s">
        <v>41</v>
      </c>
      <c r="V221" s="53"/>
      <c r="W221" s="52" t="s">
        <v>30</v>
      </c>
      <c r="X221" s="52" t="s">
        <v>31</v>
      </c>
      <c r="Y221" s="53"/>
      <c r="Z221" s="65"/>
      <c r="AA221" s="65"/>
      <c r="AB221" s="65"/>
      <c r="AC221" s="65"/>
      <c r="AD221" s="65"/>
      <c r="AE221" s="65"/>
    </row>
    <row r="222" spans="1:31" ht="13.5" thickBot="1" x14ac:dyDescent="0.25">
      <c r="A222" s="18"/>
      <c r="B222" s="18" t="s">
        <v>48</v>
      </c>
      <c r="C222" s="18" t="s">
        <v>27</v>
      </c>
      <c r="D222" s="18" t="s">
        <v>47</v>
      </c>
      <c r="E222" s="18" t="s">
        <v>29</v>
      </c>
      <c r="F222" s="18" t="s">
        <v>44</v>
      </c>
      <c r="G222" s="18" t="s">
        <v>45</v>
      </c>
      <c r="H222" s="21" t="s">
        <v>137</v>
      </c>
      <c r="I222" s="18" t="s">
        <v>139</v>
      </c>
      <c r="J222" s="18" t="s">
        <v>146</v>
      </c>
      <c r="K222" s="18" t="s">
        <v>136</v>
      </c>
      <c r="L222" s="18" t="s">
        <v>134</v>
      </c>
      <c r="M222" s="18" t="s">
        <v>160</v>
      </c>
      <c r="N222" s="18" t="s">
        <v>32</v>
      </c>
      <c r="O222" s="18" t="s">
        <v>34</v>
      </c>
      <c r="P222" s="18" t="s">
        <v>133</v>
      </c>
      <c r="Q222" s="42" t="s">
        <v>144</v>
      </c>
      <c r="R222" s="18" t="s">
        <v>36</v>
      </c>
      <c r="S222" s="35" t="s">
        <v>38</v>
      </c>
      <c r="T222" s="18" t="s">
        <v>40</v>
      </c>
      <c r="U222" s="18" t="s">
        <v>42</v>
      </c>
      <c r="V222" s="53"/>
      <c r="W222" s="52" t="s">
        <v>146</v>
      </c>
      <c r="X222" s="52" t="s">
        <v>32</v>
      </c>
      <c r="Y222" s="53"/>
      <c r="Z222" s="65"/>
      <c r="AA222" s="65"/>
      <c r="AB222" s="65"/>
      <c r="AC222" s="65"/>
      <c r="AD222" s="65"/>
      <c r="AE222" s="65"/>
    </row>
    <row r="223" spans="1:31" ht="13.5" thickBot="1" x14ac:dyDescent="0.25">
      <c r="A223" s="24" t="s">
        <v>21</v>
      </c>
      <c r="B223" s="25"/>
      <c r="C223" s="25"/>
      <c r="D223" s="25"/>
      <c r="E223" s="25"/>
      <c r="F223" s="25"/>
      <c r="G223" s="25"/>
      <c r="H223" s="27">
        <f>H225+H226+H227+H228+H229+H230+H231+H232</f>
        <v>4233600</v>
      </c>
      <c r="I223" s="26">
        <f>I225+I226+I227+I228+I229+I230+I231+I232</f>
        <v>888000</v>
      </c>
      <c r="J223" s="27">
        <f>J224+J225+J226+J227+J228+J229+J230+J231+J232</f>
        <v>110000</v>
      </c>
      <c r="K223" s="25"/>
      <c r="L223" s="25"/>
      <c r="M223" s="25"/>
      <c r="N223" s="27"/>
      <c r="O223" s="27"/>
      <c r="P223" s="25"/>
      <c r="Q223" s="25"/>
      <c r="R223" s="25"/>
      <c r="S223" s="25"/>
      <c r="T223" s="25"/>
      <c r="U223" s="31">
        <f>H223+I223+J223+N223+O223</f>
        <v>5231600</v>
      </c>
      <c r="V223" s="53"/>
      <c r="W223" s="54">
        <f>W224+W225+W226+W227+W228+W229+W230+W231+W232</f>
        <v>6872800</v>
      </c>
      <c r="X223" s="54">
        <f>X225+X226+X227+X228+X229+X230+X231+X232</f>
        <v>2098800</v>
      </c>
      <c r="Y223" s="53"/>
      <c r="Z223" s="65"/>
      <c r="AA223" s="65"/>
      <c r="AB223" s="65"/>
      <c r="AC223" s="65"/>
      <c r="AD223" s="65"/>
      <c r="AE223" s="65"/>
    </row>
    <row r="224" spans="1:31" x14ac:dyDescent="0.2">
      <c r="A224" s="19" t="s">
        <v>148</v>
      </c>
      <c r="B224" s="19"/>
      <c r="C224" s="19"/>
      <c r="D224" s="19"/>
      <c r="E224" s="19"/>
      <c r="F224" s="19"/>
      <c r="G224" s="19"/>
      <c r="H224" s="23"/>
      <c r="I224" s="36"/>
      <c r="J224" s="19">
        <f>60000/2</f>
        <v>30000</v>
      </c>
      <c r="K224" s="19"/>
      <c r="L224" s="19"/>
      <c r="M224" s="19"/>
      <c r="N224" s="23"/>
      <c r="O224" s="23"/>
      <c r="P224" s="19"/>
      <c r="Q224" s="23"/>
      <c r="R224" s="23"/>
      <c r="S224" s="23"/>
      <c r="T224" s="23"/>
      <c r="U224" s="39">
        <f t="shared" ref="U224" si="14">H224+I224+J224+N224+O224</f>
        <v>30000</v>
      </c>
      <c r="V224" s="53"/>
      <c r="W224" s="55">
        <v>60000</v>
      </c>
      <c r="X224" s="55"/>
      <c r="Y224" s="53"/>
      <c r="Z224" s="65"/>
      <c r="AA224" s="65"/>
      <c r="AB224" s="65"/>
      <c r="AC224" s="65"/>
      <c r="AD224" s="65"/>
      <c r="AE224" s="65"/>
    </row>
    <row r="225" spans="1:31" x14ac:dyDescent="0.2">
      <c r="A225" s="4" t="s">
        <v>94</v>
      </c>
      <c r="B225" s="4"/>
      <c r="C225" s="4"/>
      <c r="D225" s="4"/>
      <c r="E225" s="4"/>
      <c r="F225" s="4"/>
      <c r="G225" s="4"/>
      <c r="H225" s="4">
        <f>1388800/2</f>
        <v>694400</v>
      </c>
      <c r="I225" s="4">
        <f>48000*8/2</f>
        <v>192000</v>
      </c>
      <c r="J225" s="4">
        <f>20000/2</f>
        <v>10000</v>
      </c>
      <c r="K225" s="4"/>
      <c r="L225" s="4"/>
      <c r="M225" s="4"/>
      <c r="N225" s="4"/>
      <c r="O225" s="8"/>
      <c r="P225" s="4"/>
      <c r="Q225" s="4"/>
      <c r="R225" s="4"/>
      <c r="S225" s="4"/>
      <c r="T225" s="4"/>
      <c r="U225" s="40">
        <f>H225+I225+J225</f>
        <v>896400</v>
      </c>
      <c r="V225" s="45"/>
      <c r="W225" s="55">
        <v>1111200</v>
      </c>
      <c r="X225" s="55">
        <v>330000</v>
      </c>
      <c r="Y225" s="53"/>
      <c r="Z225" s="65"/>
      <c r="AA225" s="65"/>
      <c r="AB225" s="65"/>
      <c r="AC225" s="65"/>
      <c r="AD225" s="65"/>
      <c r="AE225" s="65"/>
    </row>
    <row r="226" spans="1:31" x14ac:dyDescent="0.2">
      <c r="A226" s="4" t="s">
        <v>95</v>
      </c>
      <c r="B226" s="4"/>
      <c r="C226" s="4"/>
      <c r="D226" s="4"/>
      <c r="E226" s="4"/>
      <c r="F226" s="4"/>
      <c r="G226" s="4"/>
      <c r="H226" s="4">
        <f>2094400/2</f>
        <v>1047200</v>
      </c>
      <c r="I226" s="4">
        <f>48000*16/2</f>
        <v>384000</v>
      </c>
      <c r="J226" s="4">
        <f t="shared" ref="J226:J232" si="15">20000/2</f>
        <v>10000</v>
      </c>
      <c r="K226" s="4"/>
      <c r="L226" s="4"/>
      <c r="M226" s="4"/>
      <c r="N226" s="4"/>
      <c r="O226" s="8"/>
      <c r="P226" s="4"/>
      <c r="Q226" s="4"/>
      <c r="R226" s="4"/>
      <c r="S226" s="4"/>
      <c r="T226" s="4"/>
      <c r="U226" s="40">
        <f t="shared" ref="U226:U232" si="16">H226+I226+J226</f>
        <v>1441200</v>
      </c>
      <c r="V226" s="45"/>
      <c r="W226" s="55">
        <v>1665600</v>
      </c>
      <c r="X226" s="55">
        <v>501600</v>
      </c>
      <c r="Y226" s="53"/>
      <c r="Z226" s="65"/>
      <c r="AA226" s="65"/>
      <c r="AB226" s="65"/>
      <c r="AC226" s="65"/>
      <c r="AD226" s="65"/>
      <c r="AE226" s="65"/>
    </row>
    <row r="227" spans="1:31" x14ac:dyDescent="0.2">
      <c r="A227" s="4" t="s">
        <v>96</v>
      </c>
      <c r="B227" s="4"/>
      <c r="C227" s="4"/>
      <c r="D227" s="4"/>
      <c r="E227" s="4"/>
      <c r="F227" s="4"/>
      <c r="G227" s="4"/>
      <c r="H227" s="4">
        <f>1041600/2</f>
        <v>520800</v>
      </c>
      <c r="I227" s="4">
        <f>48000*1/2</f>
        <v>24000</v>
      </c>
      <c r="J227" s="4">
        <f t="shared" si="15"/>
        <v>10000</v>
      </c>
      <c r="K227" s="4"/>
      <c r="L227" s="4"/>
      <c r="M227" s="4"/>
      <c r="N227" s="4"/>
      <c r="O227" s="8"/>
      <c r="P227" s="4"/>
      <c r="Q227" s="4"/>
      <c r="R227" s="4"/>
      <c r="S227" s="4"/>
      <c r="T227" s="4"/>
      <c r="U227" s="40">
        <f t="shared" si="16"/>
        <v>554800</v>
      </c>
      <c r="V227" s="45"/>
      <c r="W227" s="55">
        <v>838400</v>
      </c>
      <c r="X227" s="55">
        <v>264000</v>
      </c>
      <c r="Y227" s="53"/>
      <c r="Z227" s="65"/>
      <c r="AA227" s="65"/>
      <c r="AB227" s="65"/>
      <c r="AC227" s="65"/>
      <c r="AD227" s="65"/>
      <c r="AE227" s="65"/>
    </row>
    <row r="228" spans="1:31" x14ac:dyDescent="0.2">
      <c r="A228" s="4" t="s">
        <v>98</v>
      </c>
      <c r="B228" s="4"/>
      <c r="C228" s="4"/>
      <c r="D228" s="4"/>
      <c r="E228" s="4"/>
      <c r="F228" s="4"/>
      <c r="G228" s="4"/>
      <c r="H228" s="4">
        <f>560000/2</f>
        <v>280000</v>
      </c>
      <c r="I228" s="4">
        <f>48000*2/2</f>
        <v>48000</v>
      </c>
      <c r="J228" s="4">
        <f t="shared" si="15"/>
        <v>10000</v>
      </c>
      <c r="K228" s="4"/>
      <c r="L228" s="4"/>
      <c r="M228" s="4"/>
      <c r="N228" s="4"/>
      <c r="O228" s="8"/>
      <c r="P228" s="4"/>
      <c r="Q228" s="4"/>
      <c r="R228" s="4"/>
      <c r="S228" s="4"/>
      <c r="T228" s="4"/>
      <c r="U228" s="40">
        <f t="shared" si="16"/>
        <v>338000</v>
      </c>
      <c r="V228" s="45"/>
      <c r="W228" s="55">
        <v>460000</v>
      </c>
      <c r="X228" s="55">
        <v>132000</v>
      </c>
      <c r="Y228" s="53"/>
      <c r="Z228" s="65"/>
      <c r="AA228" s="65"/>
      <c r="AB228" s="65"/>
      <c r="AC228" s="65"/>
      <c r="AD228" s="65"/>
      <c r="AE228" s="65"/>
    </row>
    <row r="229" spans="1:31" x14ac:dyDescent="0.2">
      <c r="A229" s="4" t="s">
        <v>97</v>
      </c>
      <c r="B229" s="4"/>
      <c r="C229" s="4"/>
      <c r="D229" s="4"/>
      <c r="E229" s="4"/>
      <c r="F229" s="4"/>
      <c r="G229" s="4"/>
      <c r="H229" s="4">
        <f>907200/2</f>
        <v>453600</v>
      </c>
      <c r="I229" s="4">
        <f>48000*1/2</f>
        <v>24000</v>
      </c>
      <c r="J229" s="4">
        <f t="shared" si="15"/>
        <v>10000</v>
      </c>
      <c r="K229" s="4"/>
      <c r="L229" s="4"/>
      <c r="M229" s="4"/>
      <c r="N229" s="4"/>
      <c r="O229" s="8"/>
      <c r="P229" s="4"/>
      <c r="Q229" s="4"/>
      <c r="R229" s="4"/>
      <c r="S229" s="4"/>
      <c r="T229" s="4"/>
      <c r="U229" s="40">
        <f t="shared" si="16"/>
        <v>487600</v>
      </c>
      <c r="V229" s="45"/>
      <c r="W229" s="55">
        <v>732800</v>
      </c>
      <c r="X229" s="55">
        <v>237600</v>
      </c>
      <c r="Y229" s="53"/>
      <c r="Z229" s="65"/>
      <c r="AA229" s="65"/>
      <c r="AB229" s="65"/>
      <c r="AC229" s="65"/>
      <c r="AD229" s="65"/>
      <c r="AE229" s="65"/>
    </row>
    <row r="230" spans="1:31" x14ac:dyDescent="0.2">
      <c r="A230" s="4" t="s">
        <v>99</v>
      </c>
      <c r="B230" s="4"/>
      <c r="C230" s="4"/>
      <c r="D230" s="4"/>
      <c r="E230" s="4"/>
      <c r="F230" s="4"/>
      <c r="G230" s="4"/>
      <c r="H230" s="4">
        <f>716800/2</f>
        <v>358400</v>
      </c>
      <c r="I230" s="4">
        <f>48000*1/2</f>
        <v>24000</v>
      </c>
      <c r="J230" s="4">
        <f t="shared" si="15"/>
        <v>10000</v>
      </c>
      <c r="K230" s="4"/>
      <c r="L230" s="4"/>
      <c r="M230" s="4"/>
      <c r="N230" s="4"/>
      <c r="O230" s="8"/>
      <c r="P230" s="4"/>
      <c r="Q230" s="4"/>
      <c r="R230" s="4"/>
      <c r="S230" s="4"/>
      <c r="T230" s="4"/>
      <c r="U230" s="40">
        <f t="shared" si="16"/>
        <v>392400</v>
      </c>
      <c r="V230" s="45"/>
      <c r="W230" s="55">
        <v>583200</v>
      </c>
      <c r="X230" s="55">
        <v>198000</v>
      </c>
      <c r="Y230" s="53"/>
      <c r="Z230" s="65"/>
      <c r="AA230" s="65"/>
      <c r="AB230" s="65"/>
      <c r="AC230" s="65"/>
      <c r="AD230" s="65"/>
      <c r="AE230" s="65"/>
    </row>
    <row r="231" spans="1:31" x14ac:dyDescent="0.2">
      <c r="A231" s="4" t="s">
        <v>100</v>
      </c>
      <c r="B231" s="4"/>
      <c r="C231" s="4"/>
      <c r="D231" s="4"/>
      <c r="E231" s="4"/>
      <c r="F231" s="4"/>
      <c r="G231" s="4"/>
      <c r="H231" s="4">
        <f>1108800/2</f>
        <v>554400</v>
      </c>
      <c r="I231" s="4">
        <f>48000*2/2</f>
        <v>48000</v>
      </c>
      <c r="J231" s="4">
        <f t="shared" si="15"/>
        <v>10000</v>
      </c>
      <c r="K231" s="4"/>
      <c r="L231" s="4"/>
      <c r="M231" s="4"/>
      <c r="N231" s="4"/>
      <c r="O231" s="8"/>
      <c r="P231" s="4"/>
      <c r="Q231" s="4"/>
      <c r="R231" s="4"/>
      <c r="S231" s="4"/>
      <c r="T231" s="4"/>
      <c r="U231" s="40">
        <f t="shared" si="16"/>
        <v>612400</v>
      </c>
      <c r="V231" s="45"/>
      <c r="W231" s="55">
        <v>891200</v>
      </c>
      <c r="X231" s="55">
        <v>277200</v>
      </c>
      <c r="Y231" s="53"/>
      <c r="Z231" s="65"/>
      <c r="AA231" s="65"/>
      <c r="AB231" s="65"/>
      <c r="AC231" s="65"/>
      <c r="AD231" s="65"/>
      <c r="AE231" s="65"/>
    </row>
    <row r="232" spans="1:31" x14ac:dyDescent="0.2">
      <c r="A232" s="4" t="s">
        <v>101</v>
      </c>
      <c r="B232" s="4"/>
      <c r="C232" s="4"/>
      <c r="D232" s="4"/>
      <c r="E232" s="4"/>
      <c r="F232" s="4"/>
      <c r="G232" s="4"/>
      <c r="H232" s="4">
        <f>649600/2</f>
        <v>324800</v>
      </c>
      <c r="I232" s="4">
        <f>48000*6/2</f>
        <v>144000</v>
      </c>
      <c r="J232" s="4">
        <f t="shared" si="15"/>
        <v>10000</v>
      </c>
      <c r="K232" s="4"/>
      <c r="L232" s="4"/>
      <c r="M232" s="4"/>
      <c r="N232" s="4"/>
      <c r="O232" s="8"/>
      <c r="P232" s="4"/>
      <c r="Q232" s="4"/>
      <c r="R232" s="4"/>
      <c r="S232" s="4"/>
      <c r="T232" s="4"/>
      <c r="U232" s="40">
        <f t="shared" si="16"/>
        <v>478800</v>
      </c>
      <c r="V232" s="45"/>
      <c r="W232" s="55">
        <v>530400</v>
      </c>
      <c r="X232" s="55">
        <v>158400</v>
      </c>
      <c r="Y232" s="53"/>
      <c r="Z232" s="65"/>
      <c r="AA232" s="65"/>
      <c r="AB232" s="65"/>
      <c r="AC232" s="65"/>
      <c r="AD232" s="65"/>
      <c r="AE232" s="65"/>
    </row>
    <row r="233" spans="1:31" x14ac:dyDescent="0.2">
      <c r="J233" s="5"/>
      <c r="N233" s="12"/>
      <c r="O233" s="10"/>
      <c r="U233" s="10"/>
      <c r="V233" s="56">
        <f>SUM(V225:V232)</f>
        <v>0</v>
      </c>
      <c r="W233" s="53"/>
      <c r="X233" s="53"/>
      <c r="Y233" s="53"/>
      <c r="Z233" s="65"/>
      <c r="AA233" s="65"/>
      <c r="AB233" s="65"/>
      <c r="AC233" s="65"/>
      <c r="AD233" s="65"/>
      <c r="AE233" s="65"/>
    </row>
    <row r="234" spans="1:31" ht="18.75" x14ac:dyDescent="0.3">
      <c r="A234" s="33" t="s">
        <v>151</v>
      </c>
      <c r="B234" s="33"/>
      <c r="C234" s="33"/>
      <c r="D234" s="33"/>
      <c r="E234" s="33"/>
      <c r="F234" s="33"/>
      <c r="G234" s="33"/>
      <c r="H234" s="44"/>
      <c r="I234" s="33"/>
      <c r="J234" s="33"/>
      <c r="K234" s="33"/>
      <c r="L234" s="33"/>
      <c r="M234" s="33"/>
      <c r="N234" s="44"/>
      <c r="O234" s="33"/>
      <c r="P234" s="33"/>
      <c r="Q234" s="33"/>
      <c r="R234" s="33"/>
      <c r="S234" s="33"/>
      <c r="T234" s="33"/>
      <c r="U234" s="43"/>
      <c r="V234" s="53"/>
      <c r="W234" s="53"/>
      <c r="X234" s="53"/>
      <c r="Y234" s="53"/>
      <c r="Z234" s="65"/>
      <c r="AA234" s="65"/>
      <c r="AB234" s="65"/>
      <c r="AC234" s="65"/>
      <c r="AD234" s="65"/>
      <c r="AE234" s="65"/>
    </row>
    <row r="235" spans="1:31" ht="14.25" x14ac:dyDescent="0.25">
      <c r="A235" s="50" t="s">
        <v>174</v>
      </c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3"/>
      <c r="W235" s="53"/>
      <c r="X235" s="53"/>
      <c r="Y235" s="53"/>
      <c r="Z235" s="65"/>
      <c r="AA235" s="65"/>
      <c r="AB235" s="65"/>
      <c r="AC235" s="65"/>
      <c r="AD235" s="65"/>
      <c r="AE235" s="65"/>
    </row>
    <row r="236" spans="1:31" ht="14.25" x14ac:dyDescent="0.25">
      <c r="A236" s="50" t="s">
        <v>177</v>
      </c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3"/>
      <c r="W236" s="53"/>
      <c r="X236" s="53"/>
      <c r="Y236" s="53"/>
      <c r="Z236" s="65"/>
      <c r="AA236" s="65"/>
      <c r="AB236" s="65"/>
      <c r="AC236" s="65"/>
      <c r="AD236" s="65"/>
      <c r="AE236" s="65"/>
    </row>
    <row r="237" spans="1:31" ht="14.25" x14ac:dyDescent="0.25">
      <c r="A237" s="50" t="s">
        <v>175</v>
      </c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</row>
    <row r="238" spans="1:31" ht="14.25" x14ac:dyDescent="0.25">
      <c r="A238" s="50" t="s">
        <v>178</v>
      </c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</row>
    <row r="239" spans="1:31" ht="14.25" x14ac:dyDescent="0.25">
      <c r="A239" s="50" t="s">
        <v>180</v>
      </c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</row>
    <row r="240" spans="1:31" ht="14.25" x14ac:dyDescent="0.25">
      <c r="A240" s="50" t="s">
        <v>179</v>
      </c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</row>
    <row r="241" spans="1:31" ht="14.25" x14ac:dyDescent="0.25">
      <c r="A241" s="50" t="s">
        <v>176</v>
      </c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</row>
    <row r="242" spans="1:31" ht="14.25" x14ac:dyDescent="0.25">
      <c r="A242" s="50" t="s">
        <v>182</v>
      </c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</row>
    <row r="243" spans="1:31" ht="14.25" x14ac:dyDescent="0.25">
      <c r="A243" s="50" t="s">
        <v>181</v>
      </c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</row>
    <row r="244" spans="1:31" ht="14.25" x14ac:dyDescent="0.25">
      <c r="A244" s="50" t="s">
        <v>166</v>
      </c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</row>
    <row r="245" spans="1:31" ht="14.25" x14ac:dyDescent="0.25">
      <c r="A245" s="50" t="s">
        <v>167</v>
      </c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</row>
    <row r="246" spans="1:31" x14ac:dyDescent="0.2"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</row>
    <row r="247" spans="1:31" ht="17.25" x14ac:dyDescent="0.3">
      <c r="A247" s="94" t="s">
        <v>184</v>
      </c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</row>
    <row r="248" spans="1:31" x14ac:dyDescent="0.2"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</row>
    <row r="249" spans="1:31" x14ac:dyDescent="0.2"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</row>
    <row r="250" spans="1:31" x14ac:dyDescent="0.2"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</row>
    <row r="251" spans="1:31" x14ac:dyDescent="0.2"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</row>
    <row r="252" spans="1:31" x14ac:dyDescent="0.2"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</row>
    <row r="253" spans="1:31" x14ac:dyDescent="0.2"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</row>
    <row r="254" spans="1:31" x14ac:dyDescent="0.2"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</row>
    <row r="255" spans="1:31" x14ac:dyDescent="0.2"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</row>
    <row r="256" spans="1:31" x14ac:dyDescent="0.2">
      <c r="A256" s="6" t="s">
        <v>7</v>
      </c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</row>
    <row r="257" spans="1:31" x14ac:dyDescent="0.2">
      <c r="A257" s="14" t="s">
        <v>0</v>
      </c>
      <c r="B257" s="14" t="s">
        <v>46</v>
      </c>
      <c r="C257" s="14" t="s">
        <v>26</v>
      </c>
      <c r="D257" s="14" t="s">
        <v>46</v>
      </c>
      <c r="E257" s="14" t="s">
        <v>28</v>
      </c>
      <c r="F257" s="14" t="s">
        <v>43</v>
      </c>
      <c r="G257" s="14" t="s">
        <v>43</v>
      </c>
      <c r="H257" s="14" t="s">
        <v>14</v>
      </c>
      <c r="I257" s="14" t="s">
        <v>138</v>
      </c>
      <c r="J257" s="14" t="s">
        <v>30</v>
      </c>
      <c r="K257" s="14" t="s">
        <v>135</v>
      </c>
      <c r="L257" s="14" t="s">
        <v>13</v>
      </c>
      <c r="M257" s="14" t="s">
        <v>13</v>
      </c>
      <c r="N257" s="14" t="s">
        <v>31</v>
      </c>
      <c r="O257" s="14" t="s">
        <v>33</v>
      </c>
      <c r="P257" s="14" t="s">
        <v>33</v>
      </c>
      <c r="Q257" s="14" t="s">
        <v>145</v>
      </c>
      <c r="R257" s="14" t="s">
        <v>35</v>
      </c>
      <c r="S257" s="34" t="s">
        <v>37</v>
      </c>
      <c r="T257" s="14" t="s">
        <v>39</v>
      </c>
      <c r="U257" s="14" t="s">
        <v>41</v>
      </c>
      <c r="V257" s="53"/>
      <c r="W257" s="52"/>
      <c r="X257" s="52"/>
      <c r="Y257" s="53"/>
      <c r="Z257" s="53"/>
      <c r="AA257" s="65"/>
      <c r="AB257" s="65"/>
      <c r="AC257" s="65"/>
      <c r="AD257" s="65"/>
      <c r="AE257" s="65"/>
    </row>
    <row r="258" spans="1:31" ht="13.5" thickBot="1" x14ac:dyDescent="0.25">
      <c r="A258" s="18"/>
      <c r="B258" s="18" t="s">
        <v>48</v>
      </c>
      <c r="C258" s="18" t="s">
        <v>27</v>
      </c>
      <c r="D258" s="18" t="s">
        <v>47</v>
      </c>
      <c r="E258" s="18" t="s">
        <v>29</v>
      </c>
      <c r="F258" s="18" t="s">
        <v>44</v>
      </c>
      <c r="G258" s="18" t="s">
        <v>45</v>
      </c>
      <c r="H258" s="21" t="s">
        <v>137</v>
      </c>
      <c r="I258" s="18" t="s">
        <v>139</v>
      </c>
      <c r="J258" s="18" t="s">
        <v>146</v>
      </c>
      <c r="K258" s="18" t="s">
        <v>136</v>
      </c>
      <c r="L258" s="18" t="s">
        <v>134</v>
      </c>
      <c r="M258" s="18" t="s">
        <v>160</v>
      </c>
      <c r="N258" s="18" t="s">
        <v>32</v>
      </c>
      <c r="O258" s="18" t="s">
        <v>34</v>
      </c>
      <c r="P258" s="18" t="s">
        <v>133</v>
      </c>
      <c r="Q258" s="42" t="s">
        <v>144</v>
      </c>
      <c r="R258" s="18" t="s">
        <v>36</v>
      </c>
      <c r="S258" s="35" t="s">
        <v>38</v>
      </c>
      <c r="T258" s="18" t="s">
        <v>40</v>
      </c>
      <c r="U258" s="18" t="s">
        <v>42</v>
      </c>
      <c r="V258" s="53"/>
      <c r="W258" s="52"/>
      <c r="X258" s="52"/>
      <c r="Y258" s="53"/>
      <c r="Z258" s="53"/>
      <c r="AA258" s="65"/>
      <c r="AB258" s="65"/>
      <c r="AC258" s="65"/>
      <c r="AD258" s="65"/>
      <c r="AE258" s="65"/>
    </row>
    <row r="259" spans="1:31" ht="13.5" thickBot="1" x14ac:dyDescent="0.25">
      <c r="A259" s="24" t="s">
        <v>22</v>
      </c>
      <c r="B259" s="25"/>
      <c r="C259" s="25"/>
      <c r="D259" s="25"/>
      <c r="E259" s="25"/>
      <c r="F259" s="25"/>
      <c r="G259" s="25"/>
      <c r="H259" s="27">
        <f>H261+H262+H263+H264+H265+H266+H267+H268+H269</f>
        <v>3903200</v>
      </c>
      <c r="I259" s="26">
        <f>I261+I262+I263+I264+I265+I266+I267+I268+I269</f>
        <v>744000</v>
      </c>
      <c r="J259" s="27">
        <f>J260+J261+J262+J263+J264+J265+J266+J267+J268+J269</f>
        <v>120000</v>
      </c>
      <c r="K259" s="25"/>
      <c r="L259" s="25"/>
      <c r="M259" s="25"/>
      <c r="N259" s="27"/>
      <c r="O259" s="27"/>
      <c r="P259" s="25"/>
      <c r="Q259" s="29"/>
      <c r="R259" s="29"/>
      <c r="S259" s="29"/>
      <c r="T259" s="29"/>
      <c r="U259" s="31">
        <f>H259+I259+J259+N259+O259</f>
        <v>4767200</v>
      </c>
      <c r="V259" s="53"/>
      <c r="W259" s="54"/>
      <c r="X259" s="54"/>
      <c r="Y259" s="53"/>
      <c r="Z259" s="53"/>
      <c r="AA259" s="65"/>
      <c r="AB259" s="65"/>
      <c r="AC259" s="65"/>
      <c r="AD259" s="65"/>
      <c r="AE259" s="65"/>
    </row>
    <row r="260" spans="1:31" x14ac:dyDescent="0.2">
      <c r="A260" s="19" t="s">
        <v>149</v>
      </c>
      <c r="B260" s="19"/>
      <c r="C260" s="19"/>
      <c r="D260" s="19"/>
      <c r="E260" s="19"/>
      <c r="F260" s="19"/>
      <c r="G260" s="19"/>
      <c r="H260" s="23"/>
      <c r="I260" s="36"/>
      <c r="J260" s="19">
        <f>60000/2</f>
        <v>30000</v>
      </c>
      <c r="K260" s="19"/>
      <c r="L260" s="19"/>
      <c r="M260" s="19"/>
      <c r="N260" s="23"/>
      <c r="O260" s="23"/>
      <c r="P260" s="19"/>
      <c r="Q260" s="23"/>
      <c r="R260" s="23"/>
      <c r="S260" s="23"/>
      <c r="T260" s="23"/>
      <c r="U260" s="39">
        <f t="shared" ref="U260" si="17">H260+I260+J260+N260+O260</f>
        <v>30000</v>
      </c>
      <c r="V260" s="53"/>
      <c r="W260" s="55"/>
      <c r="X260" s="55"/>
      <c r="Y260" s="53"/>
      <c r="Z260" s="53"/>
      <c r="AA260" s="65"/>
      <c r="AB260" s="65"/>
      <c r="AC260" s="65"/>
      <c r="AD260" s="65"/>
      <c r="AE260" s="65"/>
    </row>
    <row r="261" spans="1:31" x14ac:dyDescent="0.2">
      <c r="A261" s="4" t="s">
        <v>102</v>
      </c>
      <c r="B261" s="4"/>
      <c r="C261" s="4"/>
      <c r="D261" s="4"/>
      <c r="E261" s="4"/>
      <c r="F261" s="4"/>
      <c r="G261" s="4"/>
      <c r="H261" s="4">
        <f>772800/2</f>
        <v>386400</v>
      </c>
      <c r="I261" s="4">
        <f>48000*3/2</f>
        <v>72000</v>
      </c>
      <c r="J261" s="4">
        <f>20000/2</f>
        <v>10000</v>
      </c>
      <c r="K261" s="4"/>
      <c r="L261" s="4"/>
      <c r="M261" s="4"/>
      <c r="N261" s="4"/>
      <c r="O261" s="8"/>
      <c r="P261" s="4"/>
      <c r="Q261" s="4"/>
      <c r="R261" s="4"/>
      <c r="S261" s="4"/>
      <c r="T261" s="4"/>
      <c r="U261" s="40">
        <f>H261+I261+J261</f>
        <v>468400</v>
      </c>
      <c r="V261" s="45"/>
      <c r="W261" s="55"/>
      <c r="X261" s="55"/>
      <c r="Y261" s="53"/>
      <c r="Z261" s="53"/>
      <c r="AA261" s="65"/>
      <c r="AB261" s="65"/>
      <c r="AC261" s="65"/>
      <c r="AD261" s="65"/>
      <c r="AE261" s="65"/>
    </row>
    <row r="262" spans="1:31" x14ac:dyDescent="0.2">
      <c r="A262" s="4" t="s">
        <v>103</v>
      </c>
      <c r="B262" s="4"/>
      <c r="C262" s="4"/>
      <c r="D262" s="4"/>
      <c r="E262" s="4"/>
      <c r="F262" s="4"/>
      <c r="G262" s="4"/>
      <c r="H262" s="4">
        <f>806400/2</f>
        <v>403200</v>
      </c>
      <c r="I262" s="4">
        <f>48000*2/2</f>
        <v>48000</v>
      </c>
      <c r="J262" s="4">
        <f t="shared" ref="J262:J269" si="18">20000/2</f>
        <v>10000</v>
      </c>
      <c r="K262" s="4"/>
      <c r="L262" s="4"/>
      <c r="M262" s="4"/>
      <c r="N262" s="4"/>
      <c r="O262" s="8"/>
      <c r="P262" s="4"/>
      <c r="Q262" s="4"/>
      <c r="R262" s="4"/>
      <c r="S262" s="4"/>
      <c r="T262" s="4"/>
      <c r="U262" s="40">
        <f t="shared" ref="U262:U269" si="19">H262+I262+J262</f>
        <v>461200</v>
      </c>
      <c r="V262" s="45"/>
      <c r="W262" s="55"/>
      <c r="X262" s="55"/>
      <c r="Y262" s="53"/>
      <c r="Z262" s="53"/>
      <c r="AA262" s="65"/>
      <c r="AB262" s="65"/>
      <c r="AC262" s="65"/>
      <c r="AD262" s="65"/>
      <c r="AE262" s="65"/>
    </row>
    <row r="263" spans="1:31" x14ac:dyDescent="0.2">
      <c r="A263" s="4" t="s">
        <v>104</v>
      </c>
      <c r="B263" s="4"/>
      <c r="C263" s="4"/>
      <c r="D263" s="4"/>
      <c r="E263" s="4"/>
      <c r="F263" s="4"/>
      <c r="G263" s="4"/>
      <c r="H263" s="4">
        <f>1232000/2</f>
        <v>616000</v>
      </c>
      <c r="I263" s="4">
        <f>48000*10/2</f>
        <v>240000</v>
      </c>
      <c r="J263" s="4">
        <f t="shared" si="18"/>
        <v>10000</v>
      </c>
      <c r="K263" s="4"/>
      <c r="L263" s="4"/>
      <c r="M263" s="4"/>
      <c r="N263" s="4"/>
      <c r="O263" s="8"/>
      <c r="P263" s="4"/>
      <c r="Q263" s="4"/>
      <c r="R263" s="4"/>
      <c r="S263" s="4"/>
      <c r="T263" s="4"/>
      <c r="U263" s="40">
        <f t="shared" si="19"/>
        <v>866000</v>
      </c>
      <c r="V263" s="45"/>
      <c r="W263" s="55"/>
      <c r="X263" s="55"/>
      <c r="Y263" s="53"/>
      <c r="Z263" s="53"/>
      <c r="AA263" s="65"/>
      <c r="AB263" s="65"/>
      <c r="AC263" s="65"/>
      <c r="AD263" s="65"/>
      <c r="AE263" s="65"/>
    </row>
    <row r="264" spans="1:31" x14ac:dyDescent="0.2">
      <c r="A264" s="4" t="s">
        <v>105</v>
      </c>
      <c r="B264" s="4"/>
      <c r="C264" s="4"/>
      <c r="D264" s="4"/>
      <c r="E264" s="4"/>
      <c r="F264" s="4"/>
      <c r="G264" s="4"/>
      <c r="H264" s="4">
        <f>873600/2</f>
        <v>436800</v>
      </c>
      <c r="I264" s="4">
        <f>48000*1/2</f>
        <v>24000</v>
      </c>
      <c r="J264" s="4">
        <f t="shared" si="18"/>
        <v>10000</v>
      </c>
      <c r="K264" s="4"/>
      <c r="L264" s="4"/>
      <c r="M264" s="4"/>
      <c r="N264" s="4"/>
      <c r="O264" s="8"/>
      <c r="P264" s="4"/>
      <c r="Q264" s="4"/>
      <c r="R264" s="4"/>
      <c r="S264" s="4"/>
      <c r="T264" s="4"/>
      <c r="U264" s="40">
        <f t="shared" si="19"/>
        <v>470800</v>
      </c>
      <c r="V264" s="45"/>
      <c r="W264" s="55"/>
      <c r="X264" s="55"/>
      <c r="Y264" s="53"/>
      <c r="Z264" s="53"/>
      <c r="AA264" s="65"/>
      <c r="AB264" s="65"/>
      <c r="AC264" s="65"/>
      <c r="AD264" s="65"/>
      <c r="AE264" s="65"/>
    </row>
    <row r="265" spans="1:31" x14ac:dyDescent="0.2">
      <c r="A265" s="4" t="s">
        <v>106</v>
      </c>
      <c r="B265" s="4"/>
      <c r="C265" s="4"/>
      <c r="D265" s="4"/>
      <c r="E265" s="4"/>
      <c r="F265" s="4"/>
      <c r="G265" s="4"/>
      <c r="H265" s="4">
        <f>918400/2</f>
        <v>459200</v>
      </c>
      <c r="I265" s="4">
        <f>48000*5/2</f>
        <v>120000</v>
      </c>
      <c r="J265" s="4">
        <f t="shared" si="18"/>
        <v>10000</v>
      </c>
      <c r="K265" s="4"/>
      <c r="L265" s="4"/>
      <c r="M265" s="4"/>
      <c r="N265" s="4"/>
      <c r="O265" s="8"/>
      <c r="P265" s="4"/>
      <c r="Q265" s="4"/>
      <c r="R265" s="4"/>
      <c r="S265" s="4"/>
      <c r="T265" s="4"/>
      <c r="U265" s="40">
        <f t="shared" si="19"/>
        <v>589200</v>
      </c>
      <c r="V265" s="45"/>
      <c r="W265" s="55"/>
      <c r="X265" s="55"/>
      <c r="Y265" s="53"/>
      <c r="Z265" s="53"/>
      <c r="AA265" s="65"/>
      <c r="AB265" s="65"/>
      <c r="AC265" s="65"/>
      <c r="AD265" s="65"/>
      <c r="AE265" s="65"/>
    </row>
    <row r="266" spans="1:31" x14ac:dyDescent="0.2">
      <c r="A266" s="4" t="s">
        <v>107</v>
      </c>
      <c r="B266" s="4"/>
      <c r="C266" s="4"/>
      <c r="D266" s="4"/>
      <c r="E266" s="4"/>
      <c r="F266" s="4"/>
      <c r="G266" s="4"/>
      <c r="H266" s="4">
        <f>1008000/2</f>
        <v>504000</v>
      </c>
      <c r="I266" s="4">
        <f>48000*4/2</f>
        <v>96000</v>
      </c>
      <c r="J266" s="4">
        <f t="shared" si="18"/>
        <v>10000</v>
      </c>
      <c r="K266" s="4"/>
      <c r="L266" s="4"/>
      <c r="M266" s="4"/>
      <c r="N266" s="4"/>
      <c r="O266" s="8"/>
      <c r="P266" s="4"/>
      <c r="Q266" s="4"/>
      <c r="R266" s="4"/>
      <c r="S266" s="4"/>
      <c r="T266" s="4"/>
      <c r="U266" s="40">
        <f t="shared" si="19"/>
        <v>610000</v>
      </c>
      <c r="V266" s="45"/>
      <c r="W266" s="55"/>
      <c r="X266" s="55"/>
      <c r="Y266" s="53"/>
      <c r="Z266" s="53"/>
      <c r="AA266" s="65"/>
      <c r="AB266" s="65"/>
      <c r="AC266" s="65"/>
      <c r="AD266" s="65"/>
      <c r="AE266" s="65"/>
    </row>
    <row r="267" spans="1:31" x14ac:dyDescent="0.2">
      <c r="A267" s="4" t="s">
        <v>108</v>
      </c>
      <c r="B267" s="4"/>
      <c r="C267" s="4"/>
      <c r="D267" s="4"/>
      <c r="E267" s="4"/>
      <c r="F267" s="4"/>
      <c r="G267" s="4"/>
      <c r="H267" s="4">
        <f>806400/2</f>
        <v>403200</v>
      </c>
      <c r="I267" s="4">
        <f>48000*4/2</f>
        <v>96000</v>
      </c>
      <c r="J267" s="4">
        <f t="shared" si="18"/>
        <v>10000</v>
      </c>
      <c r="K267" s="4"/>
      <c r="L267" s="4"/>
      <c r="M267" s="4"/>
      <c r="N267" s="4"/>
      <c r="O267" s="8"/>
      <c r="P267" s="4"/>
      <c r="Q267" s="4"/>
      <c r="R267" s="4"/>
      <c r="S267" s="4"/>
      <c r="T267" s="4"/>
      <c r="U267" s="40">
        <f t="shared" si="19"/>
        <v>509200</v>
      </c>
      <c r="V267" s="45"/>
      <c r="W267" s="55"/>
      <c r="X267" s="55"/>
      <c r="Y267" s="53"/>
      <c r="Z267" s="53"/>
      <c r="AA267" s="65"/>
      <c r="AB267" s="65"/>
      <c r="AC267" s="65"/>
      <c r="AD267" s="65"/>
      <c r="AE267" s="65"/>
    </row>
    <row r="268" spans="1:31" x14ac:dyDescent="0.2">
      <c r="A268" s="4" t="s">
        <v>109</v>
      </c>
      <c r="B268" s="4"/>
      <c r="C268" s="4"/>
      <c r="D268" s="4"/>
      <c r="E268" s="4"/>
      <c r="F268" s="4"/>
      <c r="G268" s="4"/>
      <c r="H268" s="4">
        <f>772800/2</f>
        <v>386400</v>
      </c>
      <c r="I268" s="4">
        <f>48000*1/2</f>
        <v>24000</v>
      </c>
      <c r="J268" s="4">
        <f t="shared" si="18"/>
        <v>10000</v>
      </c>
      <c r="K268" s="4"/>
      <c r="L268" s="4"/>
      <c r="M268" s="4"/>
      <c r="N268" s="4"/>
      <c r="O268" s="8"/>
      <c r="P268" s="4"/>
      <c r="Q268" s="4"/>
      <c r="R268" s="4"/>
      <c r="S268" s="4"/>
      <c r="T268" s="4"/>
      <c r="U268" s="40">
        <f t="shared" si="19"/>
        <v>420400</v>
      </c>
      <c r="V268" s="45"/>
      <c r="W268" s="55"/>
      <c r="X268" s="55"/>
      <c r="Y268" s="53"/>
      <c r="Z268" s="53"/>
      <c r="AA268" s="65"/>
      <c r="AB268" s="65"/>
      <c r="AC268" s="65"/>
      <c r="AD268" s="65"/>
      <c r="AE268" s="65"/>
    </row>
    <row r="269" spans="1:31" x14ac:dyDescent="0.2">
      <c r="A269" s="4" t="s">
        <v>110</v>
      </c>
      <c r="B269" s="4"/>
      <c r="C269" s="4"/>
      <c r="D269" s="4"/>
      <c r="E269" s="4"/>
      <c r="F269" s="4"/>
      <c r="G269" s="4"/>
      <c r="H269" s="4">
        <f>616000/2</f>
        <v>308000</v>
      </c>
      <c r="I269" s="4">
        <f>48000*1/2</f>
        <v>24000</v>
      </c>
      <c r="J269" s="4">
        <f t="shared" si="18"/>
        <v>10000</v>
      </c>
      <c r="K269" s="4"/>
      <c r="L269" s="4"/>
      <c r="M269" s="4"/>
      <c r="N269" s="4"/>
      <c r="O269" s="8"/>
      <c r="P269" s="4"/>
      <c r="Q269" s="4"/>
      <c r="R269" s="4"/>
      <c r="S269" s="4"/>
      <c r="T269" s="4"/>
      <c r="U269" s="40">
        <f t="shared" si="19"/>
        <v>342000</v>
      </c>
      <c r="V269" s="45"/>
      <c r="W269" s="55"/>
      <c r="X269" s="55"/>
      <c r="Y269" s="53"/>
      <c r="Z269" s="53"/>
      <c r="AA269" s="65"/>
      <c r="AB269" s="65"/>
      <c r="AC269" s="65"/>
      <c r="AD269" s="65"/>
      <c r="AE269" s="65"/>
    </row>
    <row r="270" spans="1:31" x14ac:dyDescent="0.2">
      <c r="J270" s="5"/>
      <c r="N270" s="10"/>
      <c r="O270" s="10"/>
      <c r="U270" s="10"/>
      <c r="V270" s="56"/>
      <c r="W270" s="53"/>
      <c r="X270" s="53"/>
      <c r="Y270" s="53"/>
      <c r="Z270" s="53"/>
      <c r="AA270" s="65"/>
      <c r="AB270" s="65"/>
      <c r="AC270" s="65"/>
      <c r="AD270" s="65"/>
      <c r="AE270" s="65"/>
    </row>
    <row r="271" spans="1:31" ht="18.75" x14ac:dyDescent="0.3">
      <c r="A271" s="33" t="s">
        <v>151</v>
      </c>
      <c r="B271" s="33"/>
      <c r="C271" s="33"/>
      <c r="D271" s="33"/>
      <c r="E271" s="33"/>
      <c r="F271" s="33"/>
      <c r="G271" s="33"/>
      <c r="H271" s="44"/>
      <c r="I271" s="33"/>
      <c r="J271" s="33"/>
      <c r="K271" s="33"/>
      <c r="L271" s="33"/>
      <c r="M271" s="33"/>
      <c r="N271" s="44"/>
      <c r="O271" s="33"/>
      <c r="P271" s="33"/>
      <c r="Q271" s="33"/>
      <c r="R271" s="33"/>
      <c r="S271" s="33"/>
      <c r="T271" s="33"/>
      <c r="U271" s="43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</row>
    <row r="272" spans="1:31" ht="14.25" x14ac:dyDescent="0.25">
      <c r="A272" s="50" t="s">
        <v>174</v>
      </c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</row>
    <row r="273" spans="1:31" ht="14.25" x14ac:dyDescent="0.25">
      <c r="A273" s="50" t="s">
        <v>177</v>
      </c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</row>
    <row r="274" spans="1:31" ht="14.25" x14ac:dyDescent="0.25">
      <c r="A274" s="50" t="s">
        <v>175</v>
      </c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65"/>
      <c r="W274" s="65"/>
      <c r="X274" s="65"/>
      <c r="Y274" s="65"/>
      <c r="Z274" s="65"/>
      <c r="AA274" s="65"/>
      <c r="AB274" s="65"/>
      <c r="AC274" s="65"/>
      <c r="AD274" s="65"/>
      <c r="AE274" s="65"/>
    </row>
    <row r="275" spans="1:31" ht="14.25" x14ac:dyDescent="0.25">
      <c r="A275" s="50" t="s">
        <v>178</v>
      </c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65"/>
      <c r="W275" s="65"/>
      <c r="X275" s="65"/>
      <c r="Y275" s="65"/>
      <c r="Z275" s="65"/>
      <c r="AA275" s="65"/>
      <c r="AB275" s="65"/>
      <c r="AC275" s="65"/>
      <c r="AD275" s="65"/>
      <c r="AE275" s="65"/>
    </row>
    <row r="276" spans="1:31" ht="14.25" x14ac:dyDescent="0.25">
      <c r="A276" s="50" t="s">
        <v>180</v>
      </c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</row>
    <row r="277" spans="1:31" ht="14.25" x14ac:dyDescent="0.25">
      <c r="A277" s="50" t="s">
        <v>179</v>
      </c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</row>
    <row r="278" spans="1:31" ht="14.25" x14ac:dyDescent="0.25">
      <c r="A278" s="50" t="s">
        <v>176</v>
      </c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</row>
    <row r="279" spans="1:31" ht="14.25" x14ac:dyDescent="0.25">
      <c r="A279" s="50" t="s">
        <v>182</v>
      </c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</row>
    <row r="280" spans="1:31" ht="14.25" x14ac:dyDescent="0.25">
      <c r="A280" s="50" t="s">
        <v>181</v>
      </c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</row>
    <row r="281" spans="1:31" ht="14.25" x14ac:dyDescent="0.25">
      <c r="A281" s="50" t="s">
        <v>166</v>
      </c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</row>
    <row r="282" spans="1:31" ht="14.25" x14ac:dyDescent="0.25">
      <c r="A282" s="50" t="s">
        <v>167</v>
      </c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</row>
    <row r="283" spans="1:31" x14ac:dyDescent="0.2">
      <c r="A283" s="79"/>
      <c r="B283" s="79"/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</row>
    <row r="284" spans="1:31" ht="17.25" x14ac:dyDescent="0.3">
      <c r="A284" s="94" t="s">
        <v>184</v>
      </c>
      <c r="B284" s="79"/>
      <c r="C284" s="79"/>
      <c r="D284" s="79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</row>
    <row r="285" spans="1:31" x14ac:dyDescent="0.2">
      <c r="V285" s="65"/>
      <c r="W285" s="65"/>
      <c r="X285" s="65"/>
      <c r="Y285" s="65"/>
      <c r="Z285" s="65"/>
      <c r="AA285" s="65"/>
      <c r="AB285" s="65"/>
      <c r="AC285" s="65"/>
      <c r="AD285" s="65"/>
      <c r="AE285" s="65"/>
    </row>
    <row r="286" spans="1:31" x14ac:dyDescent="0.2"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</row>
    <row r="287" spans="1:31" x14ac:dyDescent="0.2"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</row>
    <row r="288" spans="1:31" x14ac:dyDescent="0.2"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</row>
    <row r="289" spans="1:31" x14ac:dyDescent="0.2"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</row>
    <row r="290" spans="1:31" x14ac:dyDescent="0.2"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</row>
    <row r="291" spans="1:31" x14ac:dyDescent="0.2"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</row>
    <row r="292" spans="1:31" x14ac:dyDescent="0.2"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</row>
    <row r="293" spans="1:31" x14ac:dyDescent="0.2"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</row>
    <row r="294" spans="1:31" x14ac:dyDescent="0.2">
      <c r="A294" s="6" t="s">
        <v>8</v>
      </c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</row>
    <row r="295" spans="1:31" x14ac:dyDescent="0.2">
      <c r="A295" s="14" t="s">
        <v>0</v>
      </c>
      <c r="B295" s="14" t="s">
        <v>46</v>
      </c>
      <c r="C295" s="14" t="s">
        <v>26</v>
      </c>
      <c r="D295" s="14" t="s">
        <v>46</v>
      </c>
      <c r="E295" s="14" t="s">
        <v>28</v>
      </c>
      <c r="F295" s="14" t="s">
        <v>43</v>
      </c>
      <c r="G295" s="14" t="s">
        <v>43</v>
      </c>
      <c r="H295" s="14" t="s">
        <v>14</v>
      </c>
      <c r="I295" s="14" t="s">
        <v>138</v>
      </c>
      <c r="J295" s="14" t="s">
        <v>30</v>
      </c>
      <c r="K295" s="14" t="s">
        <v>135</v>
      </c>
      <c r="L295" s="14" t="s">
        <v>13</v>
      </c>
      <c r="M295" s="14" t="s">
        <v>13</v>
      </c>
      <c r="N295" s="14" t="s">
        <v>31</v>
      </c>
      <c r="O295" s="14" t="s">
        <v>33</v>
      </c>
      <c r="P295" s="14" t="s">
        <v>33</v>
      </c>
      <c r="Q295" s="14" t="s">
        <v>145</v>
      </c>
      <c r="R295" s="14" t="s">
        <v>35</v>
      </c>
      <c r="S295" s="34" t="s">
        <v>37</v>
      </c>
      <c r="T295" s="14" t="s">
        <v>39</v>
      </c>
      <c r="U295" s="84" t="s">
        <v>41</v>
      </c>
      <c r="V295" s="90"/>
      <c r="W295" s="52"/>
      <c r="X295" s="52"/>
      <c r="Y295" s="53"/>
      <c r="Z295" s="53"/>
      <c r="AA295" s="65"/>
      <c r="AB295" s="65"/>
      <c r="AC295" s="65"/>
      <c r="AD295" s="65"/>
      <c r="AE295" s="65"/>
    </row>
    <row r="296" spans="1:31" ht="13.5" thickBot="1" x14ac:dyDescent="0.25">
      <c r="A296" s="18"/>
      <c r="B296" s="18" t="s">
        <v>48</v>
      </c>
      <c r="C296" s="18" t="s">
        <v>27</v>
      </c>
      <c r="D296" s="18" t="s">
        <v>47</v>
      </c>
      <c r="E296" s="18" t="s">
        <v>29</v>
      </c>
      <c r="F296" s="18" t="s">
        <v>44</v>
      </c>
      <c r="G296" s="18" t="s">
        <v>45</v>
      </c>
      <c r="H296" s="21" t="s">
        <v>137</v>
      </c>
      <c r="I296" s="18" t="s">
        <v>139</v>
      </c>
      <c r="J296" s="18" t="s">
        <v>146</v>
      </c>
      <c r="K296" s="18" t="s">
        <v>136</v>
      </c>
      <c r="L296" s="18" t="s">
        <v>134</v>
      </c>
      <c r="M296" s="18" t="s">
        <v>160</v>
      </c>
      <c r="N296" s="18" t="s">
        <v>32</v>
      </c>
      <c r="O296" s="18" t="s">
        <v>34</v>
      </c>
      <c r="P296" s="18" t="s">
        <v>133</v>
      </c>
      <c r="Q296" s="42" t="s">
        <v>144</v>
      </c>
      <c r="R296" s="18" t="s">
        <v>36</v>
      </c>
      <c r="S296" s="35" t="s">
        <v>38</v>
      </c>
      <c r="T296" s="18" t="s">
        <v>40</v>
      </c>
      <c r="U296" s="85" t="s">
        <v>42</v>
      </c>
      <c r="V296" s="90"/>
      <c r="W296" s="52"/>
      <c r="X296" s="52"/>
      <c r="Y296" s="53"/>
      <c r="Z296" s="53"/>
      <c r="AA296" s="65"/>
      <c r="AB296" s="65"/>
      <c r="AC296" s="65"/>
      <c r="AD296" s="65"/>
      <c r="AE296" s="65"/>
    </row>
    <row r="297" spans="1:31" ht="13.5" thickBot="1" x14ac:dyDescent="0.25">
      <c r="A297" s="24" t="s">
        <v>23</v>
      </c>
      <c r="B297" s="25"/>
      <c r="C297" s="25"/>
      <c r="D297" s="25"/>
      <c r="E297" s="25"/>
      <c r="F297" s="25"/>
      <c r="G297" s="25"/>
      <c r="H297" s="27">
        <f>H299+H300+H301+H302+H303+H304+H305+H306</f>
        <v>2856000</v>
      </c>
      <c r="I297" s="27">
        <f>I299+I300+I301+I302+I303+I304+I305+I306</f>
        <v>1152000</v>
      </c>
      <c r="J297" s="27">
        <f>J298+J299+J300+J301+J302+J303+J304+J305+J306</f>
        <v>110000</v>
      </c>
      <c r="K297" s="25"/>
      <c r="L297" s="25"/>
      <c r="M297" s="25"/>
      <c r="N297" s="27"/>
      <c r="O297" s="27"/>
      <c r="P297" s="25"/>
      <c r="Q297" s="29"/>
      <c r="R297" s="29"/>
      <c r="S297" s="29"/>
      <c r="T297" s="29"/>
      <c r="U297" s="86">
        <f>H297+I297+J297+N297+O297</f>
        <v>4118000</v>
      </c>
      <c r="V297" s="90"/>
      <c r="W297" s="54"/>
      <c r="X297" s="54"/>
      <c r="Y297" s="53"/>
      <c r="Z297" s="53"/>
      <c r="AA297" s="65"/>
      <c r="AB297" s="65"/>
      <c r="AC297" s="65"/>
      <c r="AD297" s="65"/>
      <c r="AE297" s="65"/>
    </row>
    <row r="298" spans="1:31" x14ac:dyDescent="0.2">
      <c r="A298" s="19" t="s">
        <v>150</v>
      </c>
      <c r="B298" s="19"/>
      <c r="C298" s="19"/>
      <c r="D298" s="19"/>
      <c r="E298" s="19"/>
      <c r="F298" s="19"/>
      <c r="G298" s="19"/>
      <c r="H298" s="23"/>
      <c r="I298" s="36"/>
      <c r="J298" s="19">
        <f>60000/2</f>
        <v>30000</v>
      </c>
      <c r="K298" s="19"/>
      <c r="L298" s="19"/>
      <c r="M298" s="19"/>
      <c r="N298" s="23"/>
      <c r="O298" s="23"/>
      <c r="P298" s="19"/>
      <c r="Q298" s="23"/>
      <c r="R298" s="23"/>
      <c r="S298" s="23"/>
      <c r="T298" s="23"/>
      <c r="U298" s="87">
        <f t="shared" ref="U298" si="20">H298+I298+J298+N298+O298</f>
        <v>30000</v>
      </c>
      <c r="V298" s="90"/>
      <c r="W298" s="55"/>
      <c r="X298" s="55"/>
      <c r="Y298" s="53"/>
      <c r="Z298" s="53"/>
      <c r="AA298" s="65"/>
      <c r="AB298" s="65"/>
      <c r="AC298" s="65"/>
      <c r="AD298" s="65"/>
      <c r="AE298" s="65"/>
    </row>
    <row r="299" spans="1:31" x14ac:dyDescent="0.2">
      <c r="A299" s="4" t="s">
        <v>111</v>
      </c>
      <c r="B299" s="4"/>
      <c r="C299" s="4"/>
      <c r="D299" s="4"/>
      <c r="E299" s="4"/>
      <c r="F299" s="4"/>
      <c r="G299" s="4"/>
      <c r="H299" s="4">
        <f>1153600/2</f>
        <v>576800</v>
      </c>
      <c r="I299" s="4">
        <f>48000*9/2</f>
        <v>216000</v>
      </c>
      <c r="J299" s="4">
        <f>20000/2</f>
        <v>10000</v>
      </c>
      <c r="K299" s="4"/>
      <c r="L299" s="4"/>
      <c r="M299" s="4"/>
      <c r="N299" s="4"/>
      <c r="O299" s="8"/>
      <c r="P299" s="4"/>
      <c r="Q299" s="4"/>
      <c r="R299" s="4"/>
      <c r="S299" s="4"/>
      <c r="T299" s="4"/>
      <c r="U299" s="88">
        <f>H299+I299+J299</f>
        <v>802800</v>
      </c>
      <c r="V299" s="91"/>
      <c r="W299" s="55"/>
      <c r="X299" s="55"/>
      <c r="Y299" s="53"/>
      <c r="Z299" s="53"/>
      <c r="AA299" s="65"/>
      <c r="AB299" s="65"/>
      <c r="AC299" s="65"/>
      <c r="AD299" s="65"/>
      <c r="AE299" s="65"/>
    </row>
    <row r="300" spans="1:31" x14ac:dyDescent="0.2">
      <c r="A300" s="4" t="s">
        <v>112</v>
      </c>
      <c r="B300" s="4"/>
      <c r="C300" s="4"/>
      <c r="D300" s="4"/>
      <c r="E300" s="4"/>
      <c r="F300" s="4"/>
      <c r="G300" s="4"/>
      <c r="H300" s="4">
        <f>672000/2</f>
        <v>336000</v>
      </c>
      <c r="I300" s="4">
        <f>48000*9/2</f>
        <v>216000</v>
      </c>
      <c r="J300" s="4">
        <f t="shared" ref="J300:J306" si="21">20000/2</f>
        <v>10000</v>
      </c>
      <c r="K300" s="4"/>
      <c r="L300" s="4"/>
      <c r="M300" s="4"/>
      <c r="N300" s="4"/>
      <c r="O300" s="8"/>
      <c r="P300" s="4"/>
      <c r="Q300" s="4"/>
      <c r="R300" s="4"/>
      <c r="S300" s="4"/>
      <c r="T300" s="4"/>
      <c r="U300" s="88">
        <f t="shared" ref="U300:U306" si="22">H300+I300+J300</f>
        <v>562000</v>
      </c>
      <c r="V300" s="91"/>
      <c r="W300" s="55"/>
      <c r="X300" s="55"/>
      <c r="Y300" s="53"/>
      <c r="Z300" s="53"/>
      <c r="AA300" s="65"/>
      <c r="AB300" s="65"/>
      <c r="AC300" s="65"/>
      <c r="AD300" s="65"/>
      <c r="AE300" s="65"/>
    </row>
    <row r="301" spans="1:31" x14ac:dyDescent="0.2">
      <c r="A301" s="4" t="s">
        <v>141</v>
      </c>
      <c r="B301" s="4"/>
      <c r="C301" s="4"/>
      <c r="D301" s="4"/>
      <c r="E301" s="4"/>
      <c r="F301" s="4"/>
      <c r="G301" s="4"/>
      <c r="H301" s="4">
        <f>884800/2</f>
        <v>442400</v>
      </c>
      <c r="I301" s="4">
        <f>48000*4/2</f>
        <v>96000</v>
      </c>
      <c r="J301" s="4">
        <f t="shared" si="21"/>
        <v>10000</v>
      </c>
      <c r="K301" s="4"/>
      <c r="L301" s="4"/>
      <c r="M301" s="4"/>
      <c r="N301" s="4"/>
      <c r="O301" s="8"/>
      <c r="P301" s="4"/>
      <c r="Q301" s="4"/>
      <c r="R301" s="4"/>
      <c r="S301" s="4"/>
      <c r="T301" s="4"/>
      <c r="U301" s="88">
        <f t="shared" si="22"/>
        <v>548400</v>
      </c>
      <c r="V301" s="91"/>
      <c r="W301" s="55"/>
      <c r="X301" s="55"/>
      <c r="Y301" s="53"/>
      <c r="Z301" s="53"/>
      <c r="AA301" s="65"/>
      <c r="AB301" s="65"/>
      <c r="AC301" s="65"/>
      <c r="AD301" s="65"/>
      <c r="AE301" s="65"/>
    </row>
    <row r="302" spans="1:31" x14ac:dyDescent="0.2">
      <c r="A302" s="4" t="s">
        <v>113</v>
      </c>
      <c r="B302" s="4"/>
      <c r="C302" s="4"/>
      <c r="D302" s="4"/>
      <c r="E302" s="4"/>
      <c r="F302" s="4"/>
      <c r="G302" s="4"/>
      <c r="H302" s="4">
        <f>683200/2</f>
        <v>341600</v>
      </c>
      <c r="I302" s="4">
        <f>48000*4/2</f>
        <v>96000</v>
      </c>
      <c r="J302" s="4">
        <f t="shared" si="21"/>
        <v>10000</v>
      </c>
      <c r="K302" s="4"/>
      <c r="L302" s="4"/>
      <c r="M302" s="4"/>
      <c r="N302" s="4"/>
      <c r="O302" s="8"/>
      <c r="P302" s="4"/>
      <c r="Q302" s="4"/>
      <c r="R302" s="4"/>
      <c r="S302" s="4"/>
      <c r="T302" s="4"/>
      <c r="U302" s="88">
        <f t="shared" si="22"/>
        <v>447600</v>
      </c>
      <c r="V302" s="91"/>
      <c r="W302" s="55"/>
      <c r="X302" s="55"/>
      <c r="Y302" s="53"/>
      <c r="Z302" s="53"/>
      <c r="AA302" s="65"/>
      <c r="AB302" s="65"/>
      <c r="AC302" s="65"/>
      <c r="AD302" s="65"/>
      <c r="AE302" s="65"/>
    </row>
    <row r="303" spans="1:31" x14ac:dyDescent="0.2">
      <c r="A303" s="4" t="s">
        <v>114</v>
      </c>
      <c r="B303" s="4"/>
      <c r="C303" s="4"/>
      <c r="D303" s="4"/>
      <c r="E303" s="4"/>
      <c r="F303" s="4"/>
      <c r="G303" s="4"/>
      <c r="H303" s="4">
        <f>896000/2</f>
        <v>448000</v>
      </c>
      <c r="I303" s="4">
        <f>48000*6/2</f>
        <v>144000</v>
      </c>
      <c r="J303" s="4">
        <f t="shared" si="21"/>
        <v>10000</v>
      </c>
      <c r="K303" s="4"/>
      <c r="L303" s="4"/>
      <c r="M303" s="4"/>
      <c r="N303" s="4"/>
      <c r="O303" s="8"/>
      <c r="P303" s="4"/>
      <c r="Q303" s="4"/>
      <c r="R303" s="4"/>
      <c r="S303" s="4"/>
      <c r="T303" s="4"/>
      <c r="U303" s="88">
        <f t="shared" si="22"/>
        <v>602000</v>
      </c>
      <c r="V303" s="91"/>
      <c r="W303" s="55"/>
      <c r="X303" s="55"/>
      <c r="Y303" s="53"/>
      <c r="Z303" s="53"/>
      <c r="AA303" s="65"/>
      <c r="AB303" s="65"/>
      <c r="AC303" s="65"/>
      <c r="AD303" s="65"/>
      <c r="AE303" s="65"/>
    </row>
    <row r="304" spans="1:31" x14ac:dyDescent="0.2">
      <c r="A304" s="4" t="s">
        <v>115</v>
      </c>
      <c r="B304" s="4"/>
      <c r="C304" s="4"/>
      <c r="D304" s="4"/>
      <c r="E304" s="4"/>
      <c r="F304" s="4"/>
      <c r="G304" s="4"/>
      <c r="H304" s="4">
        <f>257600/2</f>
        <v>128800</v>
      </c>
      <c r="I304" s="4">
        <f>48000*1/2</f>
        <v>24000</v>
      </c>
      <c r="J304" s="4">
        <f t="shared" si="21"/>
        <v>10000</v>
      </c>
      <c r="K304" s="4"/>
      <c r="L304" s="4"/>
      <c r="M304" s="4"/>
      <c r="N304" s="4"/>
      <c r="O304" s="8"/>
      <c r="P304" s="4"/>
      <c r="Q304" s="4"/>
      <c r="R304" s="4"/>
      <c r="S304" s="4"/>
      <c r="T304" s="4"/>
      <c r="U304" s="88">
        <f t="shared" si="22"/>
        <v>162800</v>
      </c>
      <c r="V304" s="91"/>
      <c r="W304" s="55"/>
      <c r="X304" s="55"/>
      <c r="Y304" s="53"/>
      <c r="Z304" s="53"/>
      <c r="AA304" s="65"/>
      <c r="AB304" s="65"/>
      <c r="AC304" s="65"/>
      <c r="AD304" s="65"/>
      <c r="AE304" s="65"/>
    </row>
    <row r="305" spans="1:31" x14ac:dyDescent="0.2">
      <c r="A305" s="4" t="s">
        <v>116</v>
      </c>
      <c r="B305" s="4"/>
      <c r="C305" s="4"/>
      <c r="D305" s="4"/>
      <c r="E305" s="4"/>
      <c r="F305" s="4"/>
      <c r="G305" s="4"/>
      <c r="H305" s="4">
        <f>280000/2</f>
        <v>140000</v>
      </c>
      <c r="I305" s="4">
        <f>48000*5/2</f>
        <v>120000</v>
      </c>
      <c r="J305" s="4">
        <f t="shared" si="21"/>
        <v>10000</v>
      </c>
      <c r="K305" s="4"/>
      <c r="L305" s="4"/>
      <c r="M305" s="4"/>
      <c r="N305" s="4"/>
      <c r="O305" s="8"/>
      <c r="P305" s="4"/>
      <c r="Q305" s="4"/>
      <c r="R305" s="4"/>
      <c r="S305" s="4"/>
      <c r="T305" s="4"/>
      <c r="U305" s="88">
        <f t="shared" si="22"/>
        <v>270000</v>
      </c>
      <c r="V305" s="91"/>
      <c r="W305" s="55"/>
      <c r="X305" s="55"/>
      <c r="Y305" s="53"/>
      <c r="Z305" s="53"/>
      <c r="AA305" s="65"/>
      <c r="AB305" s="65"/>
      <c r="AC305" s="65"/>
      <c r="AD305" s="65"/>
      <c r="AE305" s="65"/>
    </row>
    <row r="306" spans="1:31" x14ac:dyDescent="0.2">
      <c r="A306" s="4" t="s">
        <v>117</v>
      </c>
      <c r="B306" s="4"/>
      <c r="C306" s="4"/>
      <c r="D306" s="4"/>
      <c r="E306" s="4"/>
      <c r="F306" s="4"/>
      <c r="G306" s="4"/>
      <c r="H306" s="4">
        <f>884800/2</f>
        <v>442400</v>
      </c>
      <c r="I306" s="4">
        <f>48000*10/2</f>
        <v>240000</v>
      </c>
      <c r="J306" s="4">
        <f t="shared" si="21"/>
        <v>10000</v>
      </c>
      <c r="K306" s="4"/>
      <c r="L306" s="4"/>
      <c r="M306" s="4"/>
      <c r="N306" s="4"/>
      <c r="O306" s="8"/>
      <c r="P306" s="4"/>
      <c r="Q306" s="4"/>
      <c r="R306" s="4"/>
      <c r="S306" s="4"/>
      <c r="T306" s="4"/>
      <c r="U306" s="88">
        <f t="shared" si="22"/>
        <v>692400</v>
      </c>
      <c r="V306" s="91"/>
      <c r="W306" s="55"/>
      <c r="X306" s="55"/>
      <c r="Y306" s="53"/>
      <c r="Z306" s="53"/>
      <c r="AA306" s="65"/>
      <c r="AB306" s="65"/>
      <c r="AC306" s="65"/>
      <c r="AD306" s="65"/>
      <c r="AE306" s="65"/>
    </row>
    <row r="307" spans="1:31" x14ac:dyDescent="0.2">
      <c r="J307" s="5"/>
      <c r="N307" s="10"/>
      <c r="O307" s="10"/>
      <c r="U307" s="10"/>
      <c r="V307" s="66">
        <f>SUM(V299:V306)</f>
        <v>0</v>
      </c>
      <c r="W307" s="65"/>
      <c r="X307" s="65"/>
      <c r="Y307" s="65"/>
      <c r="Z307" s="65"/>
      <c r="AA307" s="65"/>
      <c r="AB307" s="65"/>
      <c r="AC307" s="65"/>
      <c r="AD307" s="65"/>
      <c r="AE307" s="65"/>
    </row>
    <row r="308" spans="1:31" ht="18.75" x14ac:dyDescent="0.3">
      <c r="A308" s="33" t="s">
        <v>151</v>
      </c>
      <c r="B308" s="33"/>
      <c r="C308" s="33"/>
      <c r="D308" s="33"/>
      <c r="E308" s="33"/>
      <c r="F308" s="33"/>
      <c r="G308" s="33"/>
      <c r="H308" s="44"/>
      <c r="I308" s="33"/>
      <c r="J308" s="33"/>
      <c r="K308" s="33"/>
      <c r="L308" s="33"/>
      <c r="M308" s="33"/>
      <c r="N308" s="44"/>
      <c r="O308" s="33"/>
      <c r="P308" s="33"/>
      <c r="Q308" s="33"/>
      <c r="R308" s="33"/>
      <c r="S308" s="33"/>
      <c r="T308" s="33"/>
      <c r="U308" s="43"/>
      <c r="V308" s="65"/>
      <c r="W308" s="65"/>
      <c r="X308" s="65"/>
      <c r="Y308" s="65"/>
      <c r="Z308" s="65"/>
      <c r="AA308" s="65"/>
      <c r="AB308" s="65"/>
      <c r="AC308" s="65"/>
      <c r="AD308" s="65"/>
      <c r="AE308" s="65"/>
    </row>
    <row r="309" spans="1:31" ht="14.25" x14ac:dyDescent="0.25">
      <c r="A309" s="50" t="s">
        <v>174</v>
      </c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65"/>
      <c r="W309" s="65"/>
      <c r="X309" s="65"/>
      <c r="Y309" s="65"/>
      <c r="Z309" s="65"/>
      <c r="AA309" s="65"/>
      <c r="AB309" s="65"/>
      <c r="AC309" s="65"/>
      <c r="AD309" s="65"/>
      <c r="AE309" s="65"/>
    </row>
    <row r="310" spans="1:31" ht="14.25" x14ac:dyDescent="0.25">
      <c r="A310" s="50" t="s">
        <v>177</v>
      </c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65"/>
      <c r="W310" s="65"/>
      <c r="X310" s="65"/>
      <c r="Y310" s="65"/>
      <c r="Z310" s="65"/>
      <c r="AA310" s="65"/>
      <c r="AB310" s="65"/>
      <c r="AC310" s="65"/>
      <c r="AD310" s="65"/>
      <c r="AE310" s="65"/>
    </row>
    <row r="311" spans="1:31" ht="14.25" x14ac:dyDescent="0.25">
      <c r="A311" s="50" t="s">
        <v>175</v>
      </c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65"/>
      <c r="W311" s="65"/>
      <c r="X311" s="65"/>
      <c r="Y311" s="65"/>
      <c r="Z311" s="65"/>
      <c r="AA311" s="65"/>
      <c r="AB311" s="65"/>
      <c r="AC311" s="65"/>
      <c r="AD311" s="65"/>
      <c r="AE311" s="65"/>
    </row>
    <row r="312" spans="1:31" ht="14.25" x14ac:dyDescent="0.25">
      <c r="A312" s="50" t="s">
        <v>178</v>
      </c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65"/>
      <c r="W312" s="65"/>
      <c r="X312" s="65"/>
      <c r="Y312" s="65"/>
      <c r="Z312" s="65"/>
      <c r="AA312" s="65"/>
      <c r="AB312" s="65"/>
      <c r="AC312" s="65"/>
      <c r="AD312" s="65"/>
      <c r="AE312" s="65"/>
    </row>
    <row r="313" spans="1:31" ht="14.25" x14ac:dyDescent="0.25">
      <c r="A313" s="50" t="s">
        <v>180</v>
      </c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65"/>
      <c r="W313" s="65"/>
      <c r="X313" s="65"/>
      <c r="Y313" s="65"/>
      <c r="Z313" s="65"/>
      <c r="AA313" s="65"/>
      <c r="AB313" s="65"/>
      <c r="AC313" s="65"/>
      <c r="AD313" s="65"/>
      <c r="AE313" s="65"/>
    </row>
    <row r="314" spans="1:31" ht="14.25" x14ac:dyDescent="0.25">
      <c r="A314" s="50" t="s">
        <v>179</v>
      </c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65"/>
      <c r="W314" s="65"/>
      <c r="X314" s="65"/>
      <c r="Y314" s="65"/>
      <c r="Z314" s="65"/>
      <c r="AA314" s="65"/>
      <c r="AB314" s="65"/>
      <c r="AC314" s="65"/>
      <c r="AD314" s="65"/>
      <c r="AE314" s="65"/>
    </row>
    <row r="315" spans="1:31" ht="14.25" x14ac:dyDescent="0.25">
      <c r="A315" s="50" t="s">
        <v>176</v>
      </c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65"/>
      <c r="W315" s="65"/>
      <c r="X315" s="65"/>
      <c r="Y315" s="65"/>
      <c r="Z315" s="65"/>
      <c r="AA315" s="65"/>
      <c r="AB315" s="65"/>
      <c r="AC315" s="65"/>
      <c r="AD315" s="65"/>
      <c r="AE315" s="65"/>
    </row>
    <row r="316" spans="1:31" ht="14.25" x14ac:dyDescent="0.25">
      <c r="A316" s="50" t="s">
        <v>182</v>
      </c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</row>
    <row r="317" spans="1:31" ht="14.25" x14ac:dyDescent="0.25">
      <c r="A317" s="50" t="s">
        <v>181</v>
      </c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</row>
    <row r="318" spans="1:31" ht="14.25" x14ac:dyDescent="0.25">
      <c r="A318" s="50" t="s">
        <v>166</v>
      </c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65"/>
      <c r="W318" s="65"/>
      <c r="X318" s="65"/>
      <c r="Y318" s="65"/>
      <c r="Z318" s="65"/>
      <c r="AA318" s="65"/>
      <c r="AB318" s="65"/>
      <c r="AC318" s="65"/>
      <c r="AD318" s="65"/>
      <c r="AE318" s="65"/>
    </row>
    <row r="319" spans="1:31" ht="14.25" x14ac:dyDescent="0.25">
      <c r="A319" s="50" t="s">
        <v>167</v>
      </c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65"/>
      <c r="W319" s="65"/>
      <c r="X319" s="65"/>
      <c r="Y319" s="65"/>
      <c r="Z319" s="65"/>
      <c r="AA319" s="65"/>
      <c r="AB319" s="65"/>
      <c r="AC319" s="65"/>
      <c r="AD319" s="65"/>
      <c r="AE319" s="65"/>
    </row>
    <row r="320" spans="1:31" x14ac:dyDescent="0.2">
      <c r="V320" s="65"/>
      <c r="W320" s="65"/>
      <c r="X320" s="65"/>
      <c r="Y320" s="65"/>
      <c r="Z320" s="65"/>
      <c r="AA320" s="65"/>
      <c r="AB320" s="65"/>
      <c r="AC320" s="65"/>
      <c r="AD320" s="65"/>
      <c r="AE320" s="65"/>
    </row>
    <row r="321" spans="1:31" ht="17.25" x14ac:dyDescent="0.3">
      <c r="A321" s="94" t="s">
        <v>184</v>
      </c>
      <c r="V321" s="65"/>
      <c r="W321" s="65"/>
      <c r="X321" s="65"/>
      <c r="Y321" s="65"/>
      <c r="Z321" s="65"/>
      <c r="AA321" s="65"/>
      <c r="AB321" s="65"/>
      <c r="AC321" s="65"/>
      <c r="AD321" s="65"/>
      <c r="AE321" s="65"/>
    </row>
    <row r="322" spans="1:31" x14ac:dyDescent="0.2">
      <c r="V322" s="65"/>
      <c r="W322" s="65"/>
      <c r="X322" s="65"/>
      <c r="Y322" s="65"/>
      <c r="Z322" s="65"/>
      <c r="AA322" s="65"/>
      <c r="AB322" s="65"/>
      <c r="AC322" s="65"/>
      <c r="AD322" s="65"/>
      <c r="AE322" s="65"/>
    </row>
    <row r="323" spans="1:31" x14ac:dyDescent="0.2">
      <c r="V323" s="65"/>
      <c r="W323" s="65"/>
      <c r="X323" s="65"/>
      <c r="Y323" s="65"/>
      <c r="Z323" s="65"/>
      <c r="AA323" s="65"/>
      <c r="AB323" s="65"/>
      <c r="AC323" s="65"/>
      <c r="AD323" s="65"/>
      <c r="AE323" s="65"/>
    </row>
    <row r="324" spans="1:31" x14ac:dyDescent="0.2">
      <c r="V324" s="65"/>
      <c r="W324" s="65"/>
      <c r="X324" s="65"/>
      <c r="Y324" s="65"/>
      <c r="Z324" s="65"/>
      <c r="AA324" s="65"/>
      <c r="AB324" s="65"/>
      <c r="AC324" s="65"/>
      <c r="AD324" s="65"/>
      <c r="AE324" s="65"/>
    </row>
    <row r="325" spans="1:31" x14ac:dyDescent="0.2">
      <c r="V325" s="65"/>
      <c r="W325" s="65"/>
      <c r="X325" s="65"/>
      <c r="Y325" s="65"/>
      <c r="Z325" s="65"/>
      <c r="AA325" s="65"/>
      <c r="AB325" s="65"/>
      <c r="AC325" s="65"/>
      <c r="AD325" s="65"/>
      <c r="AE325" s="65"/>
    </row>
    <row r="326" spans="1:31" x14ac:dyDescent="0.2">
      <c r="V326" s="65"/>
      <c r="W326" s="65"/>
      <c r="X326" s="65"/>
      <c r="Y326" s="65"/>
      <c r="Z326" s="65"/>
      <c r="AA326" s="65"/>
      <c r="AB326" s="65"/>
      <c r="AC326" s="65"/>
      <c r="AD326" s="65"/>
      <c r="AE326" s="65"/>
    </row>
    <row r="327" spans="1:31" x14ac:dyDescent="0.2"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</row>
    <row r="328" spans="1:31" x14ac:dyDescent="0.2"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</row>
    <row r="329" spans="1:31" x14ac:dyDescent="0.2"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</row>
    <row r="330" spans="1:31" x14ac:dyDescent="0.2">
      <c r="V330" s="65"/>
      <c r="W330" s="65"/>
      <c r="X330" s="65"/>
      <c r="Y330" s="65"/>
      <c r="Z330" s="65"/>
      <c r="AA330" s="65"/>
      <c r="AB330" s="65"/>
      <c r="AC330" s="65"/>
      <c r="AD330" s="65"/>
      <c r="AE330" s="65"/>
    </row>
    <row r="331" spans="1:31" x14ac:dyDescent="0.2"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</row>
    <row r="332" spans="1:31" x14ac:dyDescent="0.2">
      <c r="A332" s="6" t="s">
        <v>9</v>
      </c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</row>
    <row r="333" spans="1:31" x14ac:dyDescent="0.2">
      <c r="A333" s="14" t="s">
        <v>0</v>
      </c>
      <c r="B333" s="14" t="s">
        <v>46</v>
      </c>
      <c r="C333" s="14" t="s">
        <v>26</v>
      </c>
      <c r="D333" s="14" t="s">
        <v>46</v>
      </c>
      <c r="E333" s="14" t="s">
        <v>28</v>
      </c>
      <c r="F333" s="14" t="s">
        <v>43</v>
      </c>
      <c r="G333" s="14" t="s">
        <v>43</v>
      </c>
      <c r="H333" s="14" t="s">
        <v>14</v>
      </c>
      <c r="I333" s="14" t="s">
        <v>138</v>
      </c>
      <c r="J333" s="14" t="s">
        <v>30</v>
      </c>
      <c r="K333" s="14" t="s">
        <v>135</v>
      </c>
      <c r="L333" s="14" t="s">
        <v>13</v>
      </c>
      <c r="M333" s="14" t="s">
        <v>13</v>
      </c>
      <c r="N333" s="14" t="s">
        <v>31</v>
      </c>
      <c r="O333" s="14" t="s">
        <v>33</v>
      </c>
      <c r="P333" s="14" t="s">
        <v>33</v>
      </c>
      <c r="Q333" s="14" t="s">
        <v>145</v>
      </c>
      <c r="R333" s="14" t="s">
        <v>35</v>
      </c>
      <c r="S333" s="34" t="s">
        <v>37</v>
      </c>
      <c r="T333" s="14" t="s">
        <v>39</v>
      </c>
      <c r="U333" s="14" t="s">
        <v>41</v>
      </c>
      <c r="V333" s="53"/>
      <c r="W333" s="52"/>
      <c r="X333" s="52"/>
      <c r="Y333" s="53"/>
      <c r="Z333" s="53"/>
      <c r="AA333" s="65"/>
      <c r="AB333" s="65"/>
      <c r="AC333" s="65"/>
      <c r="AD333" s="65"/>
      <c r="AE333" s="65"/>
    </row>
    <row r="334" spans="1:31" ht="13.5" thickBot="1" x14ac:dyDescent="0.25">
      <c r="A334" s="18"/>
      <c r="B334" s="18" t="s">
        <v>48</v>
      </c>
      <c r="C334" s="18" t="s">
        <v>27</v>
      </c>
      <c r="D334" s="18" t="s">
        <v>47</v>
      </c>
      <c r="E334" s="18" t="s">
        <v>29</v>
      </c>
      <c r="F334" s="18" t="s">
        <v>44</v>
      </c>
      <c r="G334" s="18" t="s">
        <v>45</v>
      </c>
      <c r="H334" s="21" t="s">
        <v>137</v>
      </c>
      <c r="I334" s="18" t="s">
        <v>139</v>
      </c>
      <c r="J334" s="18" t="s">
        <v>146</v>
      </c>
      <c r="K334" s="18" t="s">
        <v>136</v>
      </c>
      <c r="L334" s="18" t="s">
        <v>134</v>
      </c>
      <c r="M334" s="18" t="s">
        <v>160</v>
      </c>
      <c r="N334" s="18" t="s">
        <v>32</v>
      </c>
      <c r="O334" s="18" t="s">
        <v>34</v>
      </c>
      <c r="P334" s="18" t="s">
        <v>133</v>
      </c>
      <c r="Q334" s="42" t="s">
        <v>144</v>
      </c>
      <c r="R334" s="18" t="s">
        <v>36</v>
      </c>
      <c r="S334" s="35" t="s">
        <v>38</v>
      </c>
      <c r="T334" s="18" t="s">
        <v>40</v>
      </c>
      <c r="U334" s="18" t="s">
        <v>42</v>
      </c>
      <c r="V334" s="53"/>
      <c r="W334" s="52"/>
      <c r="X334" s="52"/>
      <c r="Y334" s="53"/>
      <c r="Z334" s="53"/>
      <c r="AA334" s="65"/>
      <c r="AB334" s="65"/>
      <c r="AC334" s="65"/>
      <c r="AD334" s="65"/>
      <c r="AE334" s="65"/>
    </row>
    <row r="335" spans="1:31" ht="13.5" thickBot="1" x14ac:dyDescent="0.25">
      <c r="A335" s="24" t="s">
        <v>24</v>
      </c>
      <c r="B335" s="25"/>
      <c r="C335" s="25"/>
      <c r="D335" s="25"/>
      <c r="E335" s="25"/>
      <c r="F335" s="25"/>
      <c r="G335" s="25"/>
      <c r="H335" s="27">
        <f>H337+H338+H339+H340+H341+H342+H343</f>
        <v>3281600</v>
      </c>
      <c r="I335" s="27">
        <f>I337+I338+I339+I340+I341+I342+I343</f>
        <v>1080000</v>
      </c>
      <c r="J335" s="27">
        <f>J336+J337+J338+J339+J340+J341+J342+J343</f>
        <v>100000</v>
      </c>
      <c r="K335" s="25"/>
      <c r="L335" s="25"/>
      <c r="M335" s="25"/>
      <c r="N335" s="27"/>
      <c r="O335" s="27"/>
      <c r="P335" s="25"/>
      <c r="Q335" s="29"/>
      <c r="R335" s="25"/>
      <c r="S335" s="25"/>
      <c r="T335" s="25"/>
      <c r="U335" s="31">
        <f>H335+I335+J335+N335+O335</f>
        <v>4461600</v>
      </c>
      <c r="V335" s="53"/>
      <c r="W335" s="54"/>
      <c r="X335" s="54"/>
      <c r="Y335" s="53"/>
      <c r="Z335" s="53"/>
      <c r="AA335" s="65"/>
      <c r="AB335" s="65"/>
      <c r="AC335" s="65"/>
      <c r="AD335" s="65"/>
      <c r="AE335" s="65"/>
    </row>
    <row r="336" spans="1:31" x14ac:dyDescent="0.2">
      <c r="A336" s="19" t="s">
        <v>9</v>
      </c>
      <c r="B336" s="19"/>
      <c r="C336" s="19"/>
      <c r="D336" s="19"/>
      <c r="E336" s="19"/>
      <c r="F336" s="19"/>
      <c r="G336" s="19"/>
      <c r="H336" s="23"/>
      <c r="I336" s="73"/>
      <c r="J336" s="19">
        <f>60000/2</f>
        <v>30000</v>
      </c>
      <c r="K336" s="19"/>
      <c r="L336" s="19"/>
      <c r="M336" s="19"/>
      <c r="N336" s="23"/>
      <c r="O336" s="23"/>
      <c r="P336" s="19"/>
      <c r="Q336" s="23"/>
      <c r="R336" s="19"/>
      <c r="S336" s="19"/>
      <c r="T336" s="19"/>
      <c r="U336" s="39">
        <f t="shared" ref="U336" si="23">H336+I336+J336+N336+O336</f>
        <v>30000</v>
      </c>
      <c r="V336" s="53"/>
      <c r="W336" s="55"/>
      <c r="X336" s="55"/>
      <c r="Y336" s="53"/>
      <c r="Z336" s="53"/>
      <c r="AA336" s="65"/>
      <c r="AB336" s="65"/>
      <c r="AC336" s="65"/>
      <c r="AD336" s="65"/>
      <c r="AE336" s="65"/>
    </row>
    <row r="337" spans="1:31" x14ac:dyDescent="0.2">
      <c r="A337" s="4" t="s">
        <v>118</v>
      </c>
      <c r="B337" s="4"/>
      <c r="C337" s="4"/>
      <c r="D337" s="4"/>
      <c r="E337" s="4"/>
      <c r="F337" s="4"/>
      <c r="G337" s="4"/>
      <c r="H337" s="4">
        <f>(11*56000)/2+(1*44800)/2+(1*33600)/2</f>
        <v>347200</v>
      </c>
      <c r="I337" s="76">
        <f>48000*8/2</f>
        <v>192000</v>
      </c>
      <c r="J337" s="4">
        <f>20000/2</f>
        <v>10000</v>
      </c>
      <c r="K337" s="4"/>
      <c r="L337" s="4"/>
      <c r="M337" s="4"/>
      <c r="N337" s="4"/>
      <c r="O337" s="8"/>
      <c r="P337" s="4"/>
      <c r="Q337" s="4"/>
      <c r="R337" s="4"/>
      <c r="S337" s="4"/>
      <c r="T337" s="4"/>
      <c r="U337" s="40">
        <f>H337+I337+J337</f>
        <v>549200</v>
      </c>
      <c r="V337" s="45"/>
      <c r="W337" s="55"/>
      <c r="X337" s="55"/>
      <c r="Y337" s="53"/>
      <c r="Z337" s="53"/>
      <c r="AA337" s="65"/>
      <c r="AB337" s="65"/>
      <c r="AC337" s="65"/>
      <c r="AD337" s="65"/>
      <c r="AE337" s="65"/>
    </row>
    <row r="338" spans="1:31" x14ac:dyDescent="0.2">
      <c r="A338" s="4" t="s">
        <v>119</v>
      </c>
      <c r="B338" s="4"/>
      <c r="C338" s="4"/>
      <c r="D338" s="4"/>
      <c r="E338" s="4"/>
      <c r="F338" s="4"/>
      <c r="G338" s="4"/>
      <c r="H338" s="4">
        <f>862400/2</f>
        <v>431200</v>
      </c>
      <c r="I338" s="76">
        <f>48000*3/2</f>
        <v>72000</v>
      </c>
      <c r="J338" s="4">
        <f t="shared" ref="J338:J343" si="24">20000/2</f>
        <v>10000</v>
      </c>
      <c r="K338" s="4"/>
      <c r="L338" s="4"/>
      <c r="M338" s="4"/>
      <c r="N338" s="4"/>
      <c r="O338" s="8"/>
      <c r="P338" s="4"/>
      <c r="Q338" s="4"/>
      <c r="R338" s="4"/>
      <c r="S338" s="4"/>
      <c r="T338" s="4"/>
      <c r="U338" s="40">
        <f t="shared" ref="U338:U343" si="25">H338+I338+J338</f>
        <v>513200</v>
      </c>
      <c r="V338" s="45"/>
      <c r="W338" s="55"/>
      <c r="X338" s="55"/>
      <c r="Y338" s="53"/>
      <c r="Z338" s="53"/>
      <c r="AA338" s="65"/>
      <c r="AB338" s="65"/>
      <c r="AC338" s="65"/>
      <c r="AD338" s="65"/>
      <c r="AE338" s="65"/>
    </row>
    <row r="339" spans="1:31" x14ac:dyDescent="0.2">
      <c r="A339" s="4" t="s">
        <v>120</v>
      </c>
      <c r="B339" s="4"/>
      <c r="C339" s="4"/>
      <c r="D339" s="4"/>
      <c r="E339" s="4"/>
      <c r="F339" s="4"/>
      <c r="G339" s="4"/>
      <c r="H339" s="4">
        <f>1702400/2</f>
        <v>851200</v>
      </c>
      <c r="I339" s="76">
        <f>48000*9/2</f>
        <v>216000</v>
      </c>
      <c r="J339" s="4">
        <f t="shared" si="24"/>
        <v>10000</v>
      </c>
      <c r="K339" s="4"/>
      <c r="L339" s="4"/>
      <c r="M339" s="4"/>
      <c r="N339" s="4"/>
      <c r="O339" s="8"/>
      <c r="P339" s="4"/>
      <c r="Q339" s="4"/>
      <c r="R339" s="4"/>
      <c r="S339" s="4"/>
      <c r="T339" s="4"/>
      <c r="U339" s="40">
        <f t="shared" si="25"/>
        <v>1077200</v>
      </c>
      <c r="V339" s="45"/>
      <c r="W339" s="55"/>
      <c r="X339" s="55"/>
      <c r="Y339" s="53"/>
      <c r="Z339" s="53"/>
      <c r="AA339" s="65"/>
      <c r="AB339" s="65"/>
      <c r="AC339" s="65"/>
      <c r="AD339" s="65"/>
      <c r="AE339" s="65"/>
    </row>
    <row r="340" spans="1:31" x14ac:dyDescent="0.2">
      <c r="A340" s="4" t="s">
        <v>121</v>
      </c>
      <c r="B340" s="4"/>
      <c r="C340" s="4"/>
      <c r="D340" s="4"/>
      <c r="E340" s="4"/>
      <c r="F340" s="4"/>
      <c r="G340" s="4"/>
      <c r="H340" s="4">
        <f>660800/2</f>
        <v>330400</v>
      </c>
      <c r="I340" s="76">
        <f>48000*4/2</f>
        <v>96000</v>
      </c>
      <c r="J340" s="4">
        <f t="shared" si="24"/>
        <v>10000</v>
      </c>
      <c r="K340" s="4"/>
      <c r="L340" s="4"/>
      <c r="M340" s="4"/>
      <c r="N340" s="4"/>
      <c r="O340" s="8"/>
      <c r="P340" s="4"/>
      <c r="Q340" s="4"/>
      <c r="R340" s="4"/>
      <c r="S340" s="4"/>
      <c r="T340" s="4"/>
      <c r="U340" s="40">
        <f t="shared" si="25"/>
        <v>436400</v>
      </c>
      <c r="V340" s="45"/>
      <c r="W340" s="55"/>
      <c r="X340" s="55"/>
      <c r="Y340" s="53"/>
      <c r="Z340" s="53"/>
      <c r="AA340" s="65"/>
      <c r="AB340" s="65"/>
      <c r="AC340" s="65"/>
      <c r="AD340" s="65"/>
      <c r="AE340" s="65"/>
    </row>
    <row r="341" spans="1:31" x14ac:dyDescent="0.2">
      <c r="A341" s="4" t="s">
        <v>122</v>
      </c>
      <c r="B341" s="4"/>
      <c r="C341" s="4"/>
      <c r="D341" s="4"/>
      <c r="E341" s="4"/>
      <c r="F341" s="4"/>
      <c r="G341" s="4"/>
      <c r="H341" s="4">
        <f>616000/2</f>
        <v>308000</v>
      </c>
      <c r="I341" s="76">
        <f>48000*7/2</f>
        <v>168000</v>
      </c>
      <c r="J341" s="4">
        <f t="shared" si="24"/>
        <v>10000</v>
      </c>
      <c r="K341" s="4"/>
      <c r="L341" s="4"/>
      <c r="M341" s="4"/>
      <c r="N341" s="4"/>
      <c r="O341" s="8"/>
      <c r="P341" s="4"/>
      <c r="Q341" s="4"/>
      <c r="R341" s="4"/>
      <c r="S341" s="4"/>
      <c r="T341" s="4"/>
      <c r="U341" s="40">
        <f t="shared" si="25"/>
        <v>486000</v>
      </c>
      <c r="V341" s="45"/>
      <c r="W341" s="55"/>
      <c r="X341" s="55"/>
      <c r="Y341" s="53"/>
      <c r="Z341" s="53"/>
      <c r="AA341" s="65"/>
      <c r="AB341" s="65"/>
      <c r="AC341" s="65"/>
      <c r="AD341" s="65"/>
      <c r="AE341" s="65"/>
    </row>
    <row r="342" spans="1:31" x14ac:dyDescent="0.2">
      <c r="A342" s="4" t="s">
        <v>123</v>
      </c>
      <c r="B342" s="4"/>
      <c r="C342" s="4"/>
      <c r="D342" s="4"/>
      <c r="E342" s="4"/>
      <c r="F342" s="4"/>
      <c r="G342" s="4"/>
      <c r="H342" s="4">
        <f>481600/2</f>
        <v>240800</v>
      </c>
      <c r="I342" s="76">
        <f>48000*1/2</f>
        <v>24000</v>
      </c>
      <c r="J342" s="4">
        <f t="shared" si="24"/>
        <v>10000</v>
      </c>
      <c r="K342" s="4"/>
      <c r="L342" s="4"/>
      <c r="M342" s="4"/>
      <c r="N342" s="4"/>
      <c r="O342" s="8"/>
      <c r="P342" s="4"/>
      <c r="Q342" s="4"/>
      <c r="R342" s="4"/>
      <c r="S342" s="4"/>
      <c r="T342" s="4"/>
      <c r="U342" s="40">
        <f t="shared" si="25"/>
        <v>274800</v>
      </c>
      <c r="V342" s="45"/>
      <c r="W342" s="55"/>
      <c r="X342" s="55"/>
      <c r="Y342" s="53"/>
      <c r="Z342" s="53"/>
      <c r="AA342" s="65"/>
      <c r="AB342" s="65"/>
      <c r="AC342" s="65"/>
      <c r="AD342" s="65"/>
      <c r="AE342" s="65"/>
    </row>
    <row r="343" spans="1:31" x14ac:dyDescent="0.2">
      <c r="A343" s="4" t="s">
        <v>124</v>
      </c>
      <c r="B343" s="4"/>
      <c r="C343" s="4"/>
      <c r="D343" s="4"/>
      <c r="E343" s="4"/>
      <c r="F343" s="4"/>
      <c r="G343" s="4"/>
      <c r="H343" s="4">
        <f>(26*56000)/2+(2*44800)/2+(0*33600)/2</f>
        <v>772800</v>
      </c>
      <c r="I343" s="76">
        <f>48000*13/2</f>
        <v>312000</v>
      </c>
      <c r="J343" s="4">
        <f t="shared" si="24"/>
        <v>10000</v>
      </c>
      <c r="K343" s="4"/>
      <c r="L343" s="4"/>
      <c r="M343" s="4"/>
      <c r="N343" s="4"/>
      <c r="O343" s="8"/>
      <c r="P343" s="4"/>
      <c r="Q343" s="4"/>
      <c r="R343" s="4"/>
      <c r="S343" s="4"/>
      <c r="T343" s="4"/>
      <c r="U343" s="40">
        <f t="shared" si="25"/>
        <v>1094800</v>
      </c>
      <c r="V343" s="45"/>
      <c r="W343" s="55"/>
      <c r="X343" s="55"/>
      <c r="Y343" s="53"/>
      <c r="Z343" s="53"/>
      <c r="AA343" s="65"/>
      <c r="AB343" s="65"/>
      <c r="AC343" s="65"/>
      <c r="AD343" s="65"/>
      <c r="AE343" s="65"/>
    </row>
    <row r="344" spans="1:31" x14ac:dyDescent="0.2">
      <c r="J344" s="5"/>
      <c r="N344" s="12"/>
      <c r="O344" s="10"/>
      <c r="U344" s="10"/>
      <c r="V344" s="56"/>
      <c r="W344" s="53"/>
      <c r="X344" s="53"/>
      <c r="Y344" s="53"/>
      <c r="Z344" s="53"/>
      <c r="AA344" s="65"/>
      <c r="AB344" s="65"/>
      <c r="AC344" s="65"/>
      <c r="AD344" s="65"/>
      <c r="AE344" s="65"/>
    </row>
    <row r="345" spans="1:31" ht="18.75" x14ac:dyDescent="0.3">
      <c r="A345" s="33" t="s">
        <v>151</v>
      </c>
      <c r="B345" s="33"/>
      <c r="C345" s="33"/>
      <c r="D345" s="33"/>
      <c r="E345" s="33"/>
      <c r="F345" s="33"/>
      <c r="G345" s="33"/>
      <c r="H345" s="44"/>
      <c r="I345" s="33"/>
      <c r="J345" s="33"/>
      <c r="K345" s="33"/>
      <c r="L345" s="33"/>
      <c r="M345" s="33"/>
      <c r="N345" s="44"/>
      <c r="O345" s="33"/>
      <c r="P345" s="33"/>
      <c r="Q345" s="33"/>
      <c r="R345" s="33"/>
      <c r="S345" s="33"/>
      <c r="T345" s="33"/>
      <c r="U345" s="43"/>
      <c r="V345" s="53"/>
      <c r="W345" s="53"/>
      <c r="X345" s="53"/>
      <c r="Y345" s="53"/>
      <c r="Z345" s="53"/>
      <c r="AA345" s="65"/>
      <c r="AB345" s="65"/>
      <c r="AC345" s="65"/>
      <c r="AD345" s="65"/>
      <c r="AE345" s="65"/>
    </row>
    <row r="346" spans="1:31" ht="14.25" x14ac:dyDescent="0.25">
      <c r="A346" s="50" t="s">
        <v>174</v>
      </c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</row>
    <row r="347" spans="1:31" ht="14.25" x14ac:dyDescent="0.25">
      <c r="A347" s="50" t="s">
        <v>177</v>
      </c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65"/>
      <c r="W347" s="65"/>
      <c r="X347" s="65"/>
      <c r="Y347" s="65"/>
      <c r="Z347" s="65"/>
      <c r="AA347" s="65"/>
      <c r="AB347" s="65"/>
      <c r="AC347" s="65"/>
      <c r="AD347" s="65"/>
      <c r="AE347" s="65"/>
    </row>
    <row r="348" spans="1:31" ht="14.25" x14ac:dyDescent="0.25">
      <c r="A348" s="50" t="s">
        <v>175</v>
      </c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65"/>
      <c r="W348" s="65"/>
      <c r="X348" s="65"/>
      <c r="Y348" s="65"/>
      <c r="Z348" s="65"/>
      <c r="AA348" s="65"/>
      <c r="AB348" s="65"/>
      <c r="AC348" s="65"/>
      <c r="AD348" s="65"/>
      <c r="AE348" s="65"/>
    </row>
    <row r="349" spans="1:31" ht="14.25" x14ac:dyDescent="0.25">
      <c r="A349" s="50" t="s">
        <v>178</v>
      </c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</row>
    <row r="350" spans="1:31" ht="14.25" x14ac:dyDescent="0.25">
      <c r="A350" s="50" t="s">
        <v>180</v>
      </c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</row>
    <row r="351" spans="1:31" ht="14.25" x14ac:dyDescent="0.25">
      <c r="A351" s="50" t="s">
        <v>179</v>
      </c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</row>
    <row r="352" spans="1:31" ht="14.25" x14ac:dyDescent="0.25">
      <c r="A352" s="50" t="s">
        <v>176</v>
      </c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65"/>
      <c r="W352" s="65"/>
      <c r="X352" s="65"/>
      <c r="Y352" s="65"/>
      <c r="Z352" s="65"/>
      <c r="AA352" s="65"/>
      <c r="AB352" s="65"/>
      <c r="AC352" s="65"/>
      <c r="AD352" s="65"/>
      <c r="AE352" s="65"/>
    </row>
    <row r="353" spans="1:31" ht="14.25" x14ac:dyDescent="0.25">
      <c r="A353" s="50" t="s">
        <v>182</v>
      </c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65"/>
      <c r="W353" s="65"/>
      <c r="X353" s="65"/>
      <c r="Y353" s="65"/>
      <c r="Z353" s="65"/>
      <c r="AA353" s="65"/>
      <c r="AB353" s="65"/>
      <c r="AC353" s="65"/>
      <c r="AD353" s="65"/>
      <c r="AE353" s="65"/>
    </row>
    <row r="354" spans="1:31" ht="14.25" x14ac:dyDescent="0.25">
      <c r="A354" s="50" t="s">
        <v>181</v>
      </c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</row>
    <row r="355" spans="1:31" ht="14.25" x14ac:dyDescent="0.25">
      <c r="A355" s="50" t="s">
        <v>166</v>
      </c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65"/>
      <c r="W355" s="65"/>
      <c r="X355" s="65"/>
      <c r="Y355" s="65"/>
      <c r="Z355" s="65"/>
      <c r="AA355" s="65"/>
      <c r="AB355" s="65"/>
      <c r="AC355" s="65"/>
      <c r="AD355" s="65"/>
      <c r="AE355" s="65"/>
    </row>
    <row r="356" spans="1:31" ht="14.25" x14ac:dyDescent="0.25">
      <c r="A356" s="50" t="s">
        <v>167</v>
      </c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65"/>
      <c r="W356" s="65"/>
      <c r="X356" s="65"/>
      <c r="Y356" s="65"/>
      <c r="Z356" s="65"/>
      <c r="AA356" s="65"/>
      <c r="AB356" s="65"/>
      <c r="AC356" s="65"/>
      <c r="AD356" s="65"/>
      <c r="AE356" s="65"/>
    </row>
    <row r="357" spans="1:31" x14ac:dyDescent="0.2">
      <c r="V357" s="65"/>
      <c r="W357" s="65"/>
      <c r="X357" s="65"/>
      <c r="Y357" s="65"/>
      <c r="Z357" s="65"/>
      <c r="AA357" s="65"/>
      <c r="AB357" s="65"/>
      <c r="AC357" s="65"/>
      <c r="AD357" s="65"/>
      <c r="AE357" s="65"/>
    </row>
    <row r="358" spans="1:31" ht="17.25" x14ac:dyDescent="0.3">
      <c r="A358" s="94" t="s">
        <v>184</v>
      </c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</row>
    <row r="359" spans="1:31" x14ac:dyDescent="0.2"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</row>
    <row r="360" spans="1:31" x14ac:dyDescent="0.2">
      <c r="V360" s="65"/>
      <c r="W360" s="65"/>
      <c r="X360" s="65"/>
      <c r="Y360" s="65"/>
      <c r="Z360" s="65"/>
      <c r="AA360" s="65"/>
      <c r="AB360" s="65"/>
      <c r="AC360" s="65"/>
      <c r="AD360" s="65"/>
      <c r="AE360" s="65"/>
    </row>
    <row r="361" spans="1:31" x14ac:dyDescent="0.2">
      <c r="V361" s="65"/>
      <c r="W361" s="65"/>
      <c r="X361" s="65"/>
      <c r="Y361" s="65"/>
      <c r="Z361" s="65"/>
      <c r="AA361" s="65"/>
      <c r="AB361" s="65"/>
      <c r="AC361" s="65"/>
      <c r="AD361" s="65"/>
      <c r="AE361" s="65"/>
    </row>
    <row r="362" spans="1:31" x14ac:dyDescent="0.2">
      <c r="V362" s="65"/>
      <c r="W362" s="65"/>
      <c r="X362" s="65"/>
      <c r="Y362" s="65"/>
      <c r="Z362" s="65"/>
      <c r="AA362" s="65"/>
      <c r="AB362" s="65"/>
      <c r="AC362" s="65"/>
      <c r="AD362" s="65"/>
      <c r="AE362" s="65"/>
    </row>
    <row r="363" spans="1:31" x14ac:dyDescent="0.2">
      <c r="V363" s="65"/>
      <c r="W363" s="65"/>
      <c r="X363" s="65"/>
      <c r="Y363" s="65"/>
      <c r="Z363" s="65"/>
      <c r="AA363" s="65"/>
      <c r="AB363" s="65"/>
      <c r="AC363" s="65"/>
      <c r="AD363" s="65"/>
      <c r="AE363" s="65"/>
    </row>
    <row r="364" spans="1:31" x14ac:dyDescent="0.2"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</row>
    <row r="365" spans="1:31" x14ac:dyDescent="0.2"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</row>
    <row r="366" spans="1:31" x14ac:dyDescent="0.2"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</row>
    <row r="367" spans="1:31" x14ac:dyDescent="0.2">
      <c r="V367" s="65"/>
      <c r="W367" s="65"/>
      <c r="X367" s="65"/>
      <c r="Y367" s="65"/>
      <c r="Z367" s="65"/>
      <c r="AA367" s="65"/>
      <c r="AB367" s="65"/>
      <c r="AC367" s="65"/>
      <c r="AD367" s="65"/>
      <c r="AE367" s="65"/>
    </row>
    <row r="368" spans="1:31" x14ac:dyDescent="0.2">
      <c r="A368" s="6" t="s">
        <v>10</v>
      </c>
      <c r="U368" s="92"/>
      <c r="V368" s="65"/>
      <c r="W368" s="65"/>
      <c r="X368" s="65"/>
      <c r="Y368" s="65"/>
      <c r="Z368" s="65"/>
      <c r="AA368" s="65"/>
      <c r="AB368" s="65"/>
      <c r="AC368" s="65"/>
      <c r="AD368" s="65"/>
      <c r="AE368" s="65"/>
    </row>
    <row r="369" spans="1:31" x14ac:dyDescent="0.2">
      <c r="A369" s="14" t="s">
        <v>0</v>
      </c>
      <c r="B369" s="14" t="s">
        <v>46</v>
      </c>
      <c r="C369" s="14" t="s">
        <v>26</v>
      </c>
      <c r="D369" s="14" t="s">
        <v>46</v>
      </c>
      <c r="E369" s="14" t="s">
        <v>28</v>
      </c>
      <c r="F369" s="14" t="s">
        <v>43</v>
      </c>
      <c r="G369" s="14" t="s">
        <v>43</v>
      </c>
      <c r="H369" s="14" t="s">
        <v>14</v>
      </c>
      <c r="I369" s="14" t="s">
        <v>138</v>
      </c>
      <c r="J369" s="14" t="s">
        <v>30</v>
      </c>
      <c r="K369" s="14" t="s">
        <v>135</v>
      </c>
      <c r="L369" s="14" t="s">
        <v>13</v>
      </c>
      <c r="M369" s="14" t="s">
        <v>13</v>
      </c>
      <c r="N369" s="14" t="s">
        <v>31</v>
      </c>
      <c r="O369" s="14" t="s">
        <v>33</v>
      </c>
      <c r="P369" s="14" t="s">
        <v>33</v>
      </c>
      <c r="Q369" s="14" t="s">
        <v>145</v>
      </c>
      <c r="R369" s="14" t="s">
        <v>35</v>
      </c>
      <c r="S369" s="34" t="s">
        <v>37</v>
      </c>
      <c r="T369" s="14" t="s">
        <v>39</v>
      </c>
      <c r="U369" s="14" t="s">
        <v>41</v>
      </c>
      <c r="V369" s="53"/>
      <c r="W369" s="52"/>
      <c r="X369" s="52"/>
      <c r="Y369" s="53"/>
      <c r="Z369" s="65"/>
      <c r="AA369" s="65"/>
      <c r="AB369" s="65"/>
      <c r="AC369" s="65"/>
      <c r="AD369" s="65"/>
      <c r="AE369" s="65"/>
    </row>
    <row r="370" spans="1:31" ht="13.5" thickBot="1" x14ac:dyDescent="0.25">
      <c r="A370" s="18"/>
      <c r="B370" s="18" t="s">
        <v>48</v>
      </c>
      <c r="C370" s="18" t="s">
        <v>27</v>
      </c>
      <c r="D370" s="18" t="s">
        <v>47</v>
      </c>
      <c r="E370" s="18" t="s">
        <v>29</v>
      </c>
      <c r="F370" s="18" t="s">
        <v>44</v>
      </c>
      <c r="G370" s="18" t="s">
        <v>45</v>
      </c>
      <c r="H370" s="21" t="s">
        <v>137</v>
      </c>
      <c r="I370" s="18" t="s">
        <v>139</v>
      </c>
      <c r="J370" s="18" t="s">
        <v>146</v>
      </c>
      <c r="K370" s="18" t="s">
        <v>136</v>
      </c>
      <c r="L370" s="18" t="s">
        <v>134</v>
      </c>
      <c r="M370" s="18" t="s">
        <v>160</v>
      </c>
      <c r="N370" s="18" t="s">
        <v>32</v>
      </c>
      <c r="O370" s="18" t="s">
        <v>34</v>
      </c>
      <c r="P370" s="18" t="s">
        <v>133</v>
      </c>
      <c r="Q370" s="42" t="s">
        <v>144</v>
      </c>
      <c r="R370" s="18" t="s">
        <v>36</v>
      </c>
      <c r="S370" s="35" t="s">
        <v>38</v>
      </c>
      <c r="T370" s="18" t="s">
        <v>40</v>
      </c>
      <c r="U370" s="18" t="s">
        <v>42</v>
      </c>
      <c r="V370" s="53"/>
      <c r="W370" s="52"/>
      <c r="X370" s="52"/>
      <c r="Y370" s="53"/>
      <c r="Z370" s="65"/>
      <c r="AA370" s="65"/>
      <c r="AB370" s="65"/>
      <c r="AC370" s="65"/>
      <c r="AD370" s="65"/>
      <c r="AE370" s="65"/>
    </row>
    <row r="371" spans="1:31" ht="13.5" thickBot="1" x14ac:dyDescent="0.25">
      <c r="A371" s="24" t="s">
        <v>25</v>
      </c>
      <c r="B371" s="25"/>
      <c r="C371" s="25"/>
      <c r="D371" s="25"/>
      <c r="E371" s="25"/>
      <c r="F371" s="25"/>
      <c r="G371" s="25"/>
      <c r="H371" s="27">
        <f>H373+H374+H375+H376+H377+H378+H379</f>
        <v>3304000</v>
      </c>
      <c r="I371" s="27">
        <f>I373+I374+I375+I376+I377+I378+I379</f>
        <v>1224000</v>
      </c>
      <c r="J371" s="31">
        <f>J372+J373+J374+J375+J376+J377+J378+J379</f>
        <v>100000</v>
      </c>
      <c r="K371" s="25"/>
      <c r="L371" s="25"/>
      <c r="M371" s="25"/>
      <c r="N371" s="27"/>
      <c r="O371" s="27"/>
      <c r="P371" s="25"/>
      <c r="Q371" s="29"/>
      <c r="R371" s="29"/>
      <c r="S371" s="29"/>
      <c r="T371" s="29"/>
      <c r="U371" s="31">
        <f>H371+I371+J371+N371+O371</f>
        <v>4628000</v>
      </c>
      <c r="V371" s="53"/>
      <c r="W371" s="57"/>
      <c r="X371" s="54"/>
      <c r="Y371" s="53"/>
      <c r="Z371" s="65"/>
      <c r="AA371" s="65"/>
      <c r="AB371" s="65"/>
      <c r="AC371" s="65"/>
      <c r="AD371" s="65"/>
      <c r="AE371" s="65"/>
    </row>
    <row r="372" spans="1:31" x14ac:dyDescent="0.2">
      <c r="A372" s="19" t="s">
        <v>10</v>
      </c>
      <c r="B372" s="19"/>
      <c r="C372" s="19"/>
      <c r="D372" s="19"/>
      <c r="E372" s="19"/>
      <c r="F372" s="19"/>
      <c r="G372" s="19"/>
      <c r="H372" s="23"/>
      <c r="I372" s="36"/>
      <c r="J372" s="38">
        <f>60000/2</f>
        <v>30000</v>
      </c>
      <c r="K372" s="19"/>
      <c r="L372" s="19"/>
      <c r="M372" s="19"/>
      <c r="N372" s="23"/>
      <c r="O372" s="23"/>
      <c r="P372" s="19"/>
      <c r="Q372" s="23"/>
      <c r="R372" s="23"/>
      <c r="S372" s="23"/>
      <c r="T372" s="23"/>
      <c r="U372" s="39">
        <f t="shared" ref="U372" si="26">H372+I372+J372+N372+O372</f>
        <v>30000</v>
      </c>
      <c r="V372" s="53"/>
      <c r="W372" s="58"/>
      <c r="X372" s="55"/>
      <c r="Y372" s="53"/>
      <c r="Z372" s="65"/>
      <c r="AA372" s="65"/>
      <c r="AB372" s="65"/>
      <c r="AC372" s="65"/>
      <c r="AD372" s="65"/>
      <c r="AE372" s="65"/>
    </row>
    <row r="373" spans="1:31" x14ac:dyDescent="0.2">
      <c r="A373" s="4" t="s">
        <v>125</v>
      </c>
      <c r="B373" s="4"/>
      <c r="C373" s="4"/>
      <c r="D373" s="4"/>
      <c r="E373" s="4"/>
      <c r="F373" s="4"/>
      <c r="G373" s="4"/>
      <c r="H373" s="4">
        <f>840000/2</f>
        <v>420000</v>
      </c>
      <c r="I373" s="76">
        <f>48000*5/2</f>
        <v>120000</v>
      </c>
      <c r="J373" s="4">
        <f>20000/2</f>
        <v>10000</v>
      </c>
      <c r="K373" s="4"/>
      <c r="L373" s="4"/>
      <c r="M373" s="4"/>
      <c r="N373" s="4"/>
      <c r="O373" s="8"/>
      <c r="P373" s="4"/>
      <c r="Q373" s="4"/>
      <c r="R373" s="4"/>
      <c r="S373" s="4"/>
      <c r="T373" s="4"/>
      <c r="U373" s="40">
        <f>H373+I373+J373</f>
        <v>550000</v>
      </c>
      <c r="V373" s="45"/>
      <c r="W373" s="55"/>
      <c r="X373" s="55"/>
      <c r="Y373" s="53"/>
      <c r="Z373" s="65"/>
      <c r="AA373" s="65"/>
      <c r="AB373" s="65"/>
      <c r="AC373" s="65"/>
      <c r="AD373" s="65"/>
      <c r="AE373" s="65"/>
    </row>
    <row r="374" spans="1:31" x14ac:dyDescent="0.2">
      <c r="A374" s="4" t="s">
        <v>126</v>
      </c>
      <c r="B374" s="4"/>
      <c r="C374" s="4"/>
      <c r="D374" s="4"/>
      <c r="E374" s="4"/>
      <c r="F374" s="4"/>
      <c r="G374" s="4"/>
      <c r="H374" s="4">
        <f>828800/2</f>
        <v>414400</v>
      </c>
      <c r="I374" s="76">
        <f>48000*7/2</f>
        <v>168000</v>
      </c>
      <c r="J374" s="4">
        <f t="shared" ref="J374:J379" si="27">20000/2</f>
        <v>10000</v>
      </c>
      <c r="K374" s="4"/>
      <c r="L374" s="4"/>
      <c r="M374" s="4"/>
      <c r="N374" s="4"/>
      <c r="O374" s="8"/>
      <c r="P374" s="4"/>
      <c r="Q374" s="4"/>
      <c r="R374" s="4"/>
      <c r="S374" s="4"/>
      <c r="T374" s="4"/>
      <c r="U374" s="40">
        <f t="shared" ref="U374:U379" si="28">H374+I374+J374</f>
        <v>592400</v>
      </c>
      <c r="V374" s="45"/>
      <c r="W374" s="55"/>
      <c r="X374" s="55"/>
      <c r="Y374" s="53"/>
      <c r="Z374" s="65"/>
      <c r="AA374" s="65"/>
      <c r="AB374" s="65"/>
      <c r="AC374" s="65"/>
      <c r="AD374" s="65"/>
      <c r="AE374" s="65"/>
    </row>
    <row r="375" spans="1:31" x14ac:dyDescent="0.2">
      <c r="A375" s="4" t="s">
        <v>140</v>
      </c>
      <c r="B375" s="4"/>
      <c r="C375" s="4"/>
      <c r="D375" s="4"/>
      <c r="E375" s="4"/>
      <c r="F375" s="4"/>
      <c r="G375" s="4"/>
      <c r="H375" s="4">
        <f>1635200/2</f>
        <v>817600</v>
      </c>
      <c r="I375" s="76">
        <f>48000*17/2</f>
        <v>408000</v>
      </c>
      <c r="J375" s="4">
        <f t="shared" si="27"/>
        <v>10000</v>
      </c>
      <c r="K375" s="4"/>
      <c r="L375" s="4"/>
      <c r="M375" s="4"/>
      <c r="N375" s="4"/>
      <c r="O375" s="8"/>
      <c r="P375" s="4"/>
      <c r="Q375" s="4"/>
      <c r="R375" s="4"/>
      <c r="S375" s="4"/>
      <c r="T375" s="4"/>
      <c r="U375" s="40">
        <f t="shared" si="28"/>
        <v>1235600</v>
      </c>
      <c r="V375" s="45"/>
      <c r="W375" s="55"/>
      <c r="X375" s="55"/>
      <c r="Y375" s="53"/>
      <c r="Z375" s="65"/>
      <c r="AA375" s="65"/>
      <c r="AB375" s="65"/>
      <c r="AC375" s="65"/>
      <c r="AD375" s="65"/>
      <c r="AE375" s="65"/>
    </row>
    <row r="376" spans="1:31" x14ac:dyDescent="0.2">
      <c r="A376" s="4" t="s">
        <v>127</v>
      </c>
      <c r="B376" s="4"/>
      <c r="C376" s="4"/>
      <c r="D376" s="4"/>
      <c r="E376" s="4"/>
      <c r="F376" s="4"/>
      <c r="G376" s="4"/>
      <c r="H376" s="4">
        <f>515200/2</f>
        <v>257600</v>
      </c>
      <c r="I376" s="76">
        <f>48000*4/2</f>
        <v>96000</v>
      </c>
      <c r="J376" s="4">
        <f t="shared" si="27"/>
        <v>10000</v>
      </c>
      <c r="K376" s="4"/>
      <c r="L376" s="4"/>
      <c r="M376" s="4"/>
      <c r="N376" s="4"/>
      <c r="O376" s="8"/>
      <c r="P376" s="4"/>
      <c r="Q376" s="4"/>
      <c r="R376" s="4"/>
      <c r="S376" s="4"/>
      <c r="T376" s="4"/>
      <c r="U376" s="40">
        <f t="shared" si="28"/>
        <v>363600</v>
      </c>
      <c r="V376" s="45"/>
      <c r="W376" s="55"/>
      <c r="X376" s="55"/>
      <c r="Y376" s="53"/>
      <c r="Z376" s="65"/>
      <c r="AA376" s="65"/>
      <c r="AB376" s="65"/>
      <c r="AC376" s="65"/>
      <c r="AD376" s="65"/>
      <c r="AE376" s="65"/>
    </row>
    <row r="377" spans="1:31" x14ac:dyDescent="0.2">
      <c r="A377" s="4" t="s">
        <v>128</v>
      </c>
      <c r="B377" s="4"/>
      <c r="C377" s="4"/>
      <c r="D377" s="4"/>
      <c r="E377" s="4"/>
      <c r="F377" s="4"/>
      <c r="G377" s="4"/>
      <c r="H377" s="4">
        <f>1019200/2</f>
        <v>509600</v>
      </c>
      <c r="I377" s="76">
        <f>48000*7/2</f>
        <v>168000</v>
      </c>
      <c r="J377" s="4">
        <f t="shared" si="27"/>
        <v>10000</v>
      </c>
      <c r="K377" s="4"/>
      <c r="L377" s="4"/>
      <c r="M377" s="4"/>
      <c r="N377" s="41"/>
      <c r="O377" s="4"/>
      <c r="P377" s="4"/>
      <c r="Q377" s="4"/>
      <c r="R377" s="4"/>
      <c r="S377" s="4"/>
      <c r="T377" s="4"/>
      <c r="U377" s="40">
        <f t="shared" si="28"/>
        <v>687600</v>
      </c>
      <c r="V377" s="45"/>
      <c r="W377" s="55"/>
      <c r="X377" s="58"/>
      <c r="Y377" s="53"/>
      <c r="Z377" s="65"/>
      <c r="AA377" s="65"/>
      <c r="AB377" s="65"/>
      <c r="AC377" s="65"/>
      <c r="AD377" s="65"/>
      <c r="AE377" s="65"/>
    </row>
    <row r="378" spans="1:31" x14ac:dyDescent="0.2">
      <c r="A378" s="4" t="s">
        <v>129</v>
      </c>
      <c r="B378" s="4"/>
      <c r="C378" s="4"/>
      <c r="D378" s="4"/>
      <c r="E378" s="4"/>
      <c r="F378" s="4"/>
      <c r="G378" s="4"/>
      <c r="H378" s="4">
        <f>(14*56000)/2+(1*44800)/2+(1*33600)/2</f>
        <v>431200</v>
      </c>
      <c r="I378" s="76">
        <f>48000*6/2</f>
        <v>144000</v>
      </c>
      <c r="J378" s="4">
        <f>20000/2</f>
        <v>10000</v>
      </c>
      <c r="K378" s="4"/>
      <c r="L378" s="4"/>
      <c r="M378" s="4"/>
      <c r="N378" s="41"/>
      <c r="O378" s="4"/>
      <c r="P378" s="4"/>
      <c r="Q378" s="4"/>
      <c r="R378" s="4"/>
      <c r="S378" s="4"/>
      <c r="T378" s="4"/>
      <c r="U378" s="40">
        <f t="shared" si="28"/>
        <v>585200</v>
      </c>
      <c r="V378" s="45"/>
      <c r="W378" s="55"/>
      <c r="X378" s="58"/>
      <c r="Y378" s="53"/>
      <c r="Z378" s="65"/>
      <c r="AA378" s="65"/>
      <c r="AB378" s="65"/>
      <c r="AC378" s="65"/>
      <c r="AD378" s="65"/>
      <c r="AE378" s="65"/>
    </row>
    <row r="379" spans="1:31" x14ac:dyDescent="0.2">
      <c r="A379" s="4" t="s">
        <v>130</v>
      </c>
      <c r="B379" s="4"/>
      <c r="C379" s="4"/>
      <c r="D379" s="4"/>
      <c r="E379" s="4"/>
      <c r="F379" s="4"/>
      <c r="G379" s="4"/>
      <c r="H379" s="4">
        <f>907200/2</f>
        <v>453600</v>
      </c>
      <c r="I379" s="76">
        <f>48000*5/2</f>
        <v>120000</v>
      </c>
      <c r="J379" s="4">
        <f t="shared" si="27"/>
        <v>10000</v>
      </c>
      <c r="K379" s="4"/>
      <c r="L379" s="4"/>
      <c r="M379" s="4"/>
      <c r="N379" s="41"/>
      <c r="O379" s="4"/>
      <c r="P379" s="4"/>
      <c r="Q379" s="4"/>
      <c r="R379" s="4"/>
      <c r="S379" s="4"/>
      <c r="T379" s="4"/>
      <c r="U379" s="40">
        <f t="shared" si="28"/>
        <v>583600</v>
      </c>
      <c r="V379" s="45"/>
      <c r="W379" s="55"/>
      <c r="X379" s="58"/>
      <c r="Y379" s="53"/>
      <c r="Z379" s="65"/>
      <c r="AA379" s="65"/>
      <c r="AB379" s="65"/>
      <c r="AC379" s="65"/>
      <c r="AD379" s="65"/>
      <c r="AE379" s="65"/>
    </row>
    <row r="380" spans="1:31" x14ac:dyDescent="0.2">
      <c r="J380" s="5"/>
      <c r="N380" s="10"/>
      <c r="O380" s="10"/>
      <c r="U380" s="30"/>
      <c r="V380" s="66"/>
      <c r="W380" s="65"/>
      <c r="X380" s="65"/>
      <c r="Y380" s="65"/>
      <c r="Z380" s="65"/>
      <c r="AA380" s="65"/>
      <c r="AB380" s="65"/>
      <c r="AC380" s="65"/>
      <c r="AD380" s="65"/>
      <c r="AE380" s="65"/>
    </row>
    <row r="381" spans="1:31" x14ac:dyDescent="0.2">
      <c r="J381" s="5"/>
      <c r="N381" s="10"/>
      <c r="O381" s="10"/>
      <c r="U381" s="30"/>
      <c r="V381" s="65"/>
      <c r="W381" s="65"/>
      <c r="X381" s="65"/>
      <c r="Y381" s="65"/>
      <c r="Z381" s="65"/>
      <c r="AA381" s="65"/>
      <c r="AB381" s="65"/>
      <c r="AC381" s="65"/>
      <c r="AD381" s="65"/>
      <c r="AE381" s="65"/>
    </row>
    <row r="382" spans="1:31" ht="18.75" x14ac:dyDescent="0.3">
      <c r="A382" s="33" t="s">
        <v>151</v>
      </c>
      <c r="B382" s="33"/>
      <c r="C382" s="33"/>
      <c r="D382" s="33"/>
      <c r="E382" s="33"/>
      <c r="F382" s="33"/>
      <c r="G382" s="33"/>
      <c r="H382" s="44"/>
      <c r="I382" s="33"/>
      <c r="J382" s="33"/>
      <c r="K382" s="33"/>
      <c r="L382" s="33"/>
      <c r="M382" s="33"/>
      <c r="N382" s="44"/>
      <c r="O382" s="33"/>
      <c r="P382" s="33"/>
      <c r="Q382" s="33"/>
      <c r="R382" s="33"/>
      <c r="S382" s="33"/>
      <c r="T382" s="33"/>
      <c r="U382" s="43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</row>
    <row r="383" spans="1:31" ht="14.25" x14ac:dyDescent="0.25">
      <c r="A383" s="50" t="s">
        <v>174</v>
      </c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65"/>
      <c r="W383" s="65"/>
      <c r="X383" s="65"/>
      <c r="Y383" s="65"/>
      <c r="Z383" s="65"/>
      <c r="AA383" s="65"/>
      <c r="AB383" s="65"/>
      <c r="AC383" s="65"/>
      <c r="AD383" s="65"/>
      <c r="AE383" s="65"/>
    </row>
    <row r="384" spans="1:31" ht="14.25" x14ac:dyDescent="0.25">
      <c r="A384" s="50" t="s">
        <v>177</v>
      </c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</row>
    <row r="385" spans="1:31" ht="14.25" x14ac:dyDescent="0.25">
      <c r="A385" s="50" t="s">
        <v>175</v>
      </c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</row>
    <row r="386" spans="1:31" ht="14.25" x14ac:dyDescent="0.25">
      <c r="A386" s="50" t="s">
        <v>178</v>
      </c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</row>
    <row r="387" spans="1:31" ht="14.25" x14ac:dyDescent="0.25">
      <c r="A387" s="50" t="s">
        <v>180</v>
      </c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</row>
    <row r="388" spans="1:31" ht="14.25" x14ac:dyDescent="0.25">
      <c r="A388" s="50" t="s">
        <v>179</v>
      </c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</row>
    <row r="389" spans="1:31" ht="14.25" x14ac:dyDescent="0.25">
      <c r="A389" s="50" t="s">
        <v>176</v>
      </c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</row>
    <row r="390" spans="1:31" ht="14.25" x14ac:dyDescent="0.25">
      <c r="A390" s="50" t="s">
        <v>182</v>
      </c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</row>
    <row r="391" spans="1:31" ht="14.25" x14ac:dyDescent="0.25">
      <c r="A391" s="50" t="s">
        <v>181</v>
      </c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</row>
    <row r="392" spans="1:31" ht="14.25" x14ac:dyDescent="0.25">
      <c r="A392" s="50" t="s">
        <v>166</v>
      </c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</row>
    <row r="393" spans="1:31" ht="14.25" x14ac:dyDescent="0.25">
      <c r="A393" s="50" t="s">
        <v>167</v>
      </c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65"/>
      <c r="W393" s="65"/>
      <c r="X393" s="65"/>
      <c r="Y393" s="65"/>
      <c r="Z393" s="65"/>
      <c r="AA393" s="65"/>
      <c r="AB393" s="65"/>
      <c r="AC393" s="65"/>
      <c r="AD393" s="65"/>
      <c r="AE393" s="65"/>
    </row>
    <row r="394" spans="1:31" x14ac:dyDescent="0.2">
      <c r="V394" s="65"/>
      <c r="W394" s="65"/>
      <c r="X394" s="65"/>
      <c r="Y394" s="65"/>
      <c r="Z394" s="65"/>
      <c r="AA394" s="65"/>
      <c r="AB394" s="65"/>
      <c r="AC394" s="65"/>
      <c r="AD394" s="65"/>
      <c r="AE394" s="65"/>
    </row>
    <row r="395" spans="1:31" ht="17.25" x14ac:dyDescent="0.3">
      <c r="A395" s="94" t="s">
        <v>184</v>
      </c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</row>
    <row r="396" spans="1:31" x14ac:dyDescent="0.2">
      <c r="V396" s="65"/>
      <c r="W396" s="65"/>
      <c r="X396" s="65"/>
      <c r="Y396" s="65"/>
      <c r="Z396" s="65"/>
      <c r="AA396" s="65"/>
      <c r="AB396" s="65"/>
      <c r="AC396" s="65"/>
      <c r="AD396" s="65"/>
      <c r="AE396" s="65"/>
    </row>
    <row r="397" spans="1:31" x14ac:dyDescent="0.2">
      <c r="V397" s="65"/>
      <c r="W397" s="65"/>
      <c r="X397" s="65"/>
      <c r="Y397" s="65"/>
      <c r="Z397" s="65"/>
      <c r="AA397" s="65"/>
      <c r="AB397" s="65"/>
      <c r="AC397" s="65"/>
      <c r="AD397" s="65"/>
      <c r="AE397" s="65"/>
    </row>
    <row r="398" spans="1:31" x14ac:dyDescent="0.2">
      <c r="V398" s="65"/>
      <c r="W398" s="65"/>
      <c r="X398" s="65"/>
      <c r="Y398" s="65"/>
      <c r="Z398" s="65"/>
      <c r="AA398" s="65"/>
      <c r="AB398" s="65"/>
      <c r="AC398" s="65"/>
      <c r="AD398" s="65"/>
      <c r="AE398" s="65"/>
    </row>
    <row r="399" spans="1:31" x14ac:dyDescent="0.2">
      <c r="V399" s="65"/>
      <c r="W399" s="65"/>
      <c r="X399" s="65"/>
      <c r="Y399" s="65"/>
      <c r="Z399" s="65"/>
      <c r="AA399" s="65"/>
      <c r="AB399" s="65"/>
      <c r="AC399" s="65"/>
      <c r="AD399" s="65"/>
      <c r="AE399" s="65"/>
    </row>
    <row r="400" spans="1:31" x14ac:dyDescent="0.2">
      <c r="V400" s="65"/>
      <c r="W400" s="65"/>
      <c r="X400" s="65"/>
      <c r="Y400" s="65"/>
      <c r="Z400" s="65"/>
      <c r="AA400" s="65"/>
      <c r="AB400" s="65"/>
      <c r="AC400" s="65"/>
      <c r="AD400" s="65"/>
      <c r="AE400" s="65"/>
    </row>
    <row r="401" spans="1:31" x14ac:dyDescent="0.2">
      <c r="V401" s="65"/>
      <c r="W401" s="65"/>
      <c r="X401" s="65"/>
      <c r="Y401" s="65"/>
      <c r="Z401" s="65"/>
      <c r="AA401" s="65"/>
      <c r="AB401" s="65"/>
      <c r="AC401" s="65"/>
      <c r="AD401" s="65"/>
      <c r="AE401" s="65"/>
    </row>
    <row r="402" spans="1:31" x14ac:dyDescent="0.2">
      <c r="V402" s="65"/>
      <c r="W402" s="65"/>
      <c r="X402" s="65"/>
      <c r="Y402" s="65"/>
      <c r="Z402" s="65"/>
      <c r="AA402" s="65"/>
      <c r="AB402" s="65"/>
      <c r="AC402" s="65"/>
      <c r="AD402" s="65"/>
      <c r="AE402" s="65"/>
    </row>
    <row r="403" spans="1:31" x14ac:dyDescent="0.2">
      <c r="V403" s="65"/>
      <c r="W403" s="65"/>
      <c r="X403" s="65"/>
      <c r="Y403" s="65"/>
      <c r="Z403" s="65"/>
      <c r="AA403" s="65"/>
      <c r="AB403" s="65"/>
      <c r="AC403" s="65"/>
      <c r="AD403" s="65"/>
      <c r="AE403" s="65"/>
    </row>
    <row r="404" spans="1:31" x14ac:dyDescent="0.2">
      <c r="V404" s="65"/>
      <c r="W404" s="65"/>
      <c r="X404" s="65"/>
      <c r="Y404" s="65"/>
      <c r="Z404" s="65"/>
      <c r="AA404" s="65"/>
      <c r="AB404" s="65"/>
      <c r="AC404" s="65"/>
      <c r="AD404" s="65"/>
      <c r="AE404" s="65"/>
    </row>
    <row r="405" spans="1:31" x14ac:dyDescent="0.2">
      <c r="A405" t="s">
        <v>132</v>
      </c>
      <c r="V405" s="65"/>
      <c r="W405" s="65"/>
      <c r="X405" s="65"/>
      <c r="Y405" s="65"/>
      <c r="Z405" s="65"/>
      <c r="AA405" s="65"/>
      <c r="AB405" s="65"/>
      <c r="AC405" s="65"/>
      <c r="AD405" s="65"/>
      <c r="AE405" s="65"/>
    </row>
    <row r="406" spans="1:31" x14ac:dyDescent="0.2">
      <c r="A406" s="14" t="s">
        <v>0</v>
      </c>
      <c r="B406" s="14" t="s">
        <v>46</v>
      </c>
      <c r="C406" s="14" t="s">
        <v>26</v>
      </c>
      <c r="D406" s="14" t="s">
        <v>46</v>
      </c>
      <c r="E406" s="14" t="s">
        <v>28</v>
      </c>
      <c r="F406" s="14" t="s">
        <v>43</v>
      </c>
      <c r="G406" s="14" t="s">
        <v>43</v>
      </c>
      <c r="H406" s="14" t="s">
        <v>14</v>
      </c>
      <c r="I406" s="14" t="s">
        <v>138</v>
      </c>
      <c r="J406" s="14" t="s">
        <v>30</v>
      </c>
      <c r="K406" s="14" t="s">
        <v>135</v>
      </c>
      <c r="L406" s="14" t="s">
        <v>13</v>
      </c>
      <c r="M406" s="14" t="s">
        <v>13</v>
      </c>
      <c r="N406" s="14" t="s">
        <v>31</v>
      </c>
      <c r="O406" s="14" t="s">
        <v>33</v>
      </c>
      <c r="P406" s="14" t="s">
        <v>33</v>
      </c>
      <c r="Q406" s="14" t="s">
        <v>145</v>
      </c>
      <c r="R406" s="14" t="s">
        <v>35</v>
      </c>
      <c r="S406" s="34" t="s">
        <v>37</v>
      </c>
      <c r="T406" s="14" t="s">
        <v>39</v>
      </c>
      <c r="U406" s="14" t="s">
        <v>41</v>
      </c>
      <c r="V406" s="65"/>
      <c r="W406" s="65"/>
      <c r="X406" s="65"/>
      <c r="Y406" s="65"/>
      <c r="Z406" s="65"/>
      <c r="AA406" s="65"/>
      <c r="AB406" s="65"/>
      <c r="AC406" s="65"/>
      <c r="AD406" s="65"/>
      <c r="AE406" s="65"/>
    </row>
    <row r="407" spans="1:31" ht="13.5" thickBot="1" x14ac:dyDescent="0.25">
      <c r="A407" s="18"/>
      <c r="B407" s="18" t="s">
        <v>48</v>
      </c>
      <c r="C407" s="18" t="s">
        <v>27</v>
      </c>
      <c r="D407" s="18" t="s">
        <v>47</v>
      </c>
      <c r="E407" s="18" t="s">
        <v>29</v>
      </c>
      <c r="F407" s="18" t="s">
        <v>44</v>
      </c>
      <c r="G407" s="18" t="s">
        <v>45</v>
      </c>
      <c r="H407" s="21" t="s">
        <v>137</v>
      </c>
      <c r="I407" s="18" t="s">
        <v>139</v>
      </c>
      <c r="J407" s="18" t="s">
        <v>146</v>
      </c>
      <c r="K407" s="18" t="s">
        <v>136</v>
      </c>
      <c r="L407" s="18" t="s">
        <v>134</v>
      </c>
      <c r="M407" s="18" t="s">
        <v>160</v>
      </c>
      <c r="N407" s="18" t="s">
        <v>32</v>
      </c>
      <c r="O407" s="18" t="s">
        <v>34</v>
      </c>
      <c r="P407" s="18" t="s">
        <v>133</v>
      </c>
      <c r="Q407" s="42" t="s">
        <v>144</v>
      </c>
      <c r="R407" s="18" t="s">
        <v>36</v>
      </c>
      <c r="S407" s="35" t="s">
        <v>38</v>
      </c>
      <c r="T407" s="18" t="s">
        <v>40</v>
      </c>
      <c r="U407" s="18" t="s">
        <v>42</v>
      </c>
      <c r="V407" s="65"/>
      <c r="W407" s="65"/>
      <c r="X407" s="65"/>
      <c r="Y407" s="65"/>
      <c r="Z407" s="65"/>
      <c r="AA407" s="65"/>
      <c r="AB407" s="65"/>
      <c r="AC407" s="65"/>
      <c r="AD407" s="65"/>
      <c r="AE407" s="65"/>
    </row>
    <row r="408" spans="1:31" ht="13.5" thickBot="1" x14ac:dyDescent="0.25">
      <c r="A408" s="24" t="s">
        <v>132</v>
      </c>
      <c r="B408" s="25"/>
      <c r="C408" s="25"/>
      <c r="D408" s="25"/>
      <c r="E408" s="25"/>
      <c r="F408" s="25"/>
      <c r="G408" s="25"/>
      <c r="H408" s="47">
        <f>44800/2</f>
        <v>22400</v>
      </c>
      <c r="I408" s="47"/>
      <c r="J408" s="47"/>
      <c r="K408" s="25"/>
      <c r="L408" s="25"/>
      <c r="M408" s="25"/>
      <c r="N408" s="49"/>
      <c r="O408" s="25"/>
      <c r="P408" s="25"/>
      <c r="Q408" s="25"/>
      <c r="R408" s="25"/>
      <c r="S408" s="25"/>
      <c r="T408" s="25"/>
      <c r="U408" s="48">
        <f>H408+J408+N408+O408+Q408</f>
        <v>22400</v>
      </c>
      <c r="V408" s="65"/>
      <c r="W408" s="65"/>
      <c r="X408" s="65"/>
      <c r="Y408" s="65"/>
      <c r="Z408" s="65"/>
      <c r="AA408" s="65"/>
      <c r="AB408" s="65"/>
      <c r="AC408" s="65"/>
      <c r="AD408" s="65"/>
      <c r="AE408" s="65"/>
    </row>
    <row r="409" spans="1:31" x14ac:dyDescent="0.2">
      <c r="V409" s="65"/>
      <c r="W409" s="65"/>
      <c r="X409" s="65"/>
      <c r="Y409" s="65"/>
      <c r="Z409" s="65"/>
      <c r="AA409" s="65"/>
      <c r="AB409" s="65"/>
      <c r="AC409" s="65"/>
      <c r="AD409" s="65"/>
      <c r="AE409" s="65"/>
    </row>
    <row r="410" spans="1:31" ht="18.75" x14ac:dyDescent="0.3">
      <c r="A410" s="33" t="s">
        <v>142</v>
      </c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V410" s="65"/>
      <c r="W410" s="65"/>
      <c r="X410" s="65"/>
      <c r="Y410" s="65"/>
      <c r="Z410" s="65"/>
      <c r="AA410" s="65"/>
      <c r="AB410" s="65"/>
      <c r="AC410" s="65"/>
      <c r="AD410" s="65"/>
      <c r="AE410" s="65"/>
    </row>
    <row r="411" spans="1:31" ht="13.5" x14ac:dyDescent="0.25">
      <c r="A411" s="59" t="s">
        <v>183</v>
      </c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65"/>
      <c r="W411" s="65"/>
      <c r="X411" s="65"/>
      <c r="Y411" s="65"/>
      <c r="Z411" s="65"/>
      <c r="AA411" s="65"/>
      <c r="AB411" s="65"/>
      <c r="AC411" s="65"/>
      <c r="AD411" s="65"/>
      <c r="AE411" s="65"/>
    </row>
    <row r="412" spans="1:31" ht="13.5" x14ac:dyDescent="0.25">
      <c r="A412" s="59" t="s">
        <v>178</v>
      </c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65"/>
      <c r="W412" s="65"/>
      <c r="X412" s="65"/>
      <c r="Y412" s="65"/>
      <c r="Z412" s="65"/>
      <c r="AA412" s="65"/>
      <c r="AB412" s="65"/>
      <c r="AC412" s="65"/>
      <c r="AD412" s="65"/>
      <c r="AE412" s="65"/>
    </row>
    <row r="413" spans="1:31" ht="13.5" x14ac:dyDescent="0.25">
      <c r="A413" s="59"/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79"/>
      <c r="V413" s="65"/>
      <c r="W413" s="65"/>
      <c r="X413" s="65"/>
      <c r="Y413" s="65"/>
      <c r="Z413" s="65"/>
      <c r="AA413" s="65"/>
      <c r="AB413" s="65"/>
      <c r="AC413" s="65"/>
      <c r="AD413" s="65"/>
      <c r="AE413" s="65"/>
    </row>
    <row r="414" spans="1:31" ht="18.75" x14ac:dyDescent="0.3">
      <c r="A414" s="94" t="s">
        <v>184</v>
      </c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V414" s="65"/>
      <c r="W414" s="65"/>
      <c r="X414" s="65"/>
      <c r="Y414" s="65"/>
      <c r="Z414" s="65"/>
      <c r="AA414" s="65"/>
      <c r="AB414" s="65"/>
      <c r="AC414" s="65"/>
      <c r="AD414" s="65"/>
      <c r="AE414" s="65"/>
    </row>
    <row r="415" spans="1:31" ht="18.75" x14ac:dyDescent="0.3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V415" s="65"/>
      <c r="W415" s="65"/>
      <c r="X415" s="65"/>
      <c r="Y415" s="65"/>
      <c r="Z415" s="65"/>
      <c r="AA415" s="65"/>
      <c r="AB415" s="65"/>
      <c r="AC415" s="65"/>
      <c r="AD415" s="65"/>
      <c r="AE415" s="65"/>
    </row>
    <row r="416" spans="1:31" ht="18.75" x14ac:dyDescent="0.3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V416" s="65"/>
      <c r="W416" s="65"/>
      <c r="X416" s="65"/>
      <c r="Y416" s="65"/>
      <c r="Z416" s="65"/>
      <c r="AA416" s="65"/>
      <c r="AB416" s="65"/>
      <c r="AC416" s="65"/>
      <c r="AD416" s="65"/>
      <c r="AE416" s="65"/>
    </row>
    <row r="417" spans="1:31" ht="18.75" x14ac:dyDescent="0.3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V417" s="65"/>
      <c r="W417" s="65"/>
      <c r="X417" s="65"/>
      <c r="Y417" s="65"/>
      <c r="Z417" s="65"/>
      <c r="AA417" s="65"/>
      <c r="AB417" s="65"/>
      <c r="AC417" s="65"/>
      <c r="AD417" s="65"/>
      <c r="AE417" s="65"/>
    </row>
    <row r="418" spans="1:31" ht="18.75" x14ac:dyDescent="0.3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V418" s="65"/>
      <c r="W418" s="65"/>
      <c r="X418" s="65"/>
      <c r="Y418" s="65"/>
      <c r="Z418" s="65"/>
      <c r="AA418" s="65"/>
      <c r="AB418" s="65"/>
      <c r="AC418" s="65"/>
      <c r="AD418" s="65"/>
      <c r="AE418" s="65"/>
    </row>
    <row r="419" spans="1:31" x14ac:dyDescent="0.2">
      <c r="V419" s="65"/>
      <c r="W419" s="65"/>
      <c r="X419" s="65"/>
      <c r="Y419" s="65"/>
      <c r="Z419" s="65"/>
      <c r="AA419" s="65"/>
      <c r="AB419" s="65"/>
      <c r="AC419" s="65"/>
      <c r="AD419" s="65"/>
      <c r="AE419" s="65"/>
    </row>
    <row r="420" spans="1:31" x14ac:dyDescent="0.2">
      <c r="V420" s="65"/>
      <c r="W420" s="65"/>
      <c r="X420" s="65"/>
      <c r="Y420" s="65"/>
      <c r="Z420" s="65"/>
      <c r="AA420" s="65"/>
      <c r="AB420" s="65"/>
      <c r="AC420" s="65"/>
      <c r="AD420" s="65"/>
      <c r="AE420" s="65"/>
    </row>
    <row r="421" spans="1:31" x14ac:dyDescent="0.2">
      <c r="V421" s="65"/>
      <c r="W421" s="65"/>
      <c r="X421" s="65"/>
      <c r="Y421" s="65"/>
      <c r="Z421" s="65"/>
      <c r="AA421" s="65"/>
      <c r="AB421" s="65"/>
      <c r="AC421" s="65"/>
      <c r="AD421" s="65"/>
      <c r="AE421" s="65"/>
    </row>
    <row r="422" spans="1:31" x14ac:dyDescent="0.2">
      <c r="V422" s="65"/>
      <c r="W422" s="65"/>
      <c r="X422" s="65"/>
      <c r="Y422" s="65"/>
      <c r="Z422" s="65"/>
      <c r="AA422" s="65"/>
      <c r="AB422" s="65"/>
      <c r="AC422" s="65"/>
      <c r="AD422" s="65"/>
      <c r="AE422" s="65"/>
    </row>
    <row r="423" spans="1:31" x14ac:dyDescent="0.2">
      <c r="V423" s="65"/>
      <c r="W423" s="65"/>
      <c r="X423" s="65"/>
      <c r="Y423" s="65"/>
      <c r="Z423" s="65"/>
      <c r="AA423" s="65"/>
      <c r="AB423" s="65"/>
      <c r="AC423" s="65"/>
      <c r="AD423" s="65"/>
      <c r="AE423" s="65"/>
    </row>
    <row r="424" spans="1:31" x14ac:dyDescent="0.2">
      <c r="V424" s="65"/>
      <c r="W424" s="65"/>
      <c r="X424" s="65"/>
      <c r="Y424" s="65"/>
      <c r="Z424" s="65"/>
      <c r="AA424" s="65"/>
      <c r="AB424" s="65"/>
      <c r="AC424" s="65"/>
      <c r="AD424" s="65"/>
      <c r="AE424" s="65"/>
    </row>
    <row r="425" spans="1:31" x14ac:dyDescent="0.2">
      <c r="V425" s="65"/>
      <c r="W425" s="65"/>
      <c r="X425" s="65"/>
      <c r="Y425" s="65"/>
      <c r="Z425" s="65"/>
      <c r="AA425" s="65"/>
      <c r="AB425" s="65"/>
      <c r="AC425" s="65"/>
      <c r="AD425" s="65"/>
      <c r="AE425" s="65"/>
    </row>
    <row r="426" spans="1:31" x14ac:dyDescent="0.2">
      <c r="V426" s="65"/>
      <c r="W426" s="65"/>
      <c r="X426" s="65"/>
      <c r="Y426" s="65"/>
      <c r="Z426" s="65"/>
      <c r="AA426" s="65"/>
      <c r="AB426" s="65"/>
      <c r="AC426" s="65"/>
      <c r="AD426" s="65"/>
      <c r="AE426" s="65"/>
    </row>
    <row r="427" spans="1:31" x14ac:dyDescent="0.2">
      <c r="V427" s="65"/>
      <c r="W427" s="65"/>
      <c r="X427" s="65"/>
      <c r="Y427" s="65"/>
      <c r="Z427" s="65"/>
      <c r="AA427" s="65"/>
      <c r="AB427" s="65"/>
      <c r="AC427" s="65"/>
      <c r="AD427" s="65"/>
      <c r="AE427" s="65"/>
    </row>
    <row r="428" spans="1:31" x14ac:dyDescent="0.2">
      <c r="V428" s="65"/>
      <c r="W428" s="65"/>
      <c r="X428" s="65"/>
      <c r="Y428" s="65"/>
      <c r="Z428" s="65"/>
      <c r="AA428" s="65"/>
      <c r="AB428" s="65"/>
      <c r="AC428" s="65"/>
      <c r="AD428" s="65"/>
      <c r="AE428" s="65"/>
    </row>
    <row r="429" spans="1:31" x14ac:dyDescent="0.2">
      <c r="V429" s="65"/>
      <c r="W429" s="65"/>
      <c r="X429" s="65"/>
      <c r="Y429" s="65"/>
      <c r="Z429" s="65"/>
      <c r="AA429" s="65"/>
      <c r="AB429" s="65"/>
      <c r="AC429" s="65"/>
      <c r="AD429" s="65"/>
      <c r="AE429" s="65"/>
    </row>
    <row r="430" spans="1:31" x14ac:dyDescent="0.2">
      <c r="V430" s="65"/>
      <c r="W430" s="65"/>
      <c r="X430" s="65"/>
      <c r="Y430" s="65"/>
      <c r="Z430" s="65"/>
      <c r="AA430" s="65"/>
      <c r="AB430" s="65"/>
      <c r="AC430" s="65"/>
      <c r="AD430" s="65"/>
      <c r="AE430" s="65"/>
    </row>
    <row r="431" spans="1:31" x14ac:dyDescent="0.2">
      <c r="V431" s="65"/>
      <c r="W431" s="65"/>
      <c r="X431" s="65"/>
      <c r="Y431" s="65"/>
      <c r="Z431" s="65"/>
      <c r="AA431" s="65"/>
      <c r="AB431" s="65"/>
      <c r="AC431" s="65"/>
      <c r="AD431" s="65"/>
      <c r="AE431" s="65"/>
    </row>
    <row r="432" spans="1:31" x14ac:dyDescent="0.2">
      <c r="V432" s="65"/>
      <c r="W432" s="65"/>
      <c r="X432" s="65"/>
      <c r="Y432" s="65"/>
      <c r="Z432" s="65"/>
      <c r="AA432" s="65"/>
      <c r="AB432" s="65"/>
      <c r="AC432" s="65"/>
      <c r="AD432" s="65"/>
      <c r="AE432" s="65"/>
    </row>
    <row r="433" spans="1:31" x14ac:dyDescent="0.2">
      <c r="V433" s="65"/>
      <c r="W433" s="65"/>
      <c r="X433" s="65"/>
      <c r="Y433" s="65"/>
      <c r="Z433" s="65"/>
      <c r="AA433" s="65"/>
      <c r="AB433" s="65"/>
      <c r="AC433" s="65"/>
      <c r="AD433" s="65"/>
      <c r="AE433" s="65"/>
    </row>
    <row r="434" spans="1:31" x14ac:dyDescent="0.2">
      <c r="V434" s="65"/>
      <c r="W434" s="65"/>
      <c r="X434" s="65"/>
      <c r="Y434" s="65"/>
      <c r="Z434" s="65"/>
      <c r="AA434" s="65"/>
      <c r="AB434" s="65"/>
      <c r="AC434" s="65"/>
      <c r="AD434" s="65"/>
      <c r="AE434" s="65"/>
    </row>
    <row r="435" spans="1:31" x14ac:dyDescent="0.2">
      <c r="V435" s="65"/>
      <c r="W435" s="65"/>
      <c r="X435" s="65"/>
      <c r="Y435" s="65"/>
      <c r="Z435" s="65"/>
      <c r="AA435" s="65"/>
      <c r="AB435" s="65"/>
      <c r="AC435" s="65"/>
      <c r="AD435" s="65"/>
      <c r="AE435" s="65"/>
    </row>
    <row r="436" spans="1:31" x14ac:dyDescent="0.2">
      <c r="V436" s="65"/>
      <c r="W436" s="65"/>
      <c r="X436" s="65"/>
      <c r="Y436" s="65"/>
      <c r="Z436" s="65"/>
      <c r="AA436" s="65"/>
      <c r="AB436" s="65"/>
      <c r="AC436" s="65"/>
      <c r="AD436" s="65"/>
      <c r="AE436" s="65"/>
    </row>
    <row r="437" spans="1:31" x14ac:dyDescent="0.2">
      <c r="V437" s="65"/>
      <c r="W437" s="65"/>
      <c r="X437" s="65"/>
      <c r="Y437" s="65"/>
      <c r="Z437" s="65"/>
      <c r="AA437" s="65"/>
      <c r="AB437" s="65"/>
      <c r="AC437" s="65"/>
      <c r="AD437" s="65"/>
      <c r="AE437" s="65"/>
    </row>
    <row r="438" spans="1:31" x14ac:dyDescent="0.2">
      <c r="V438" s="65"/>
      <c r="W438" s="65"/>
      <c r="X438" s="65"/>
      <c r="Y438" s="65"/>
      <c r="Z438" s="65"/>
      <c r="AA438" s="65"/>
      <c r="AB438" s="65"/>
      <c r="AC438" s="65"/>
      <c r="AD438" s="65"/>
      <c r="AE438" s="65"/>
    </row>
    <row r="439" spans="1:31" x14ac:dyDescent="0.2">
      <c r="V439" s="65"/>
      <c r="W439" s="65"/>
      <c r="X439" s="65"/>
      <c r="Y439" s="65"/>
      <c r="Z439" s="65"/>
      <c r="AA439" s="65"/>
      <c r="AB439" s="65"/>
      <c r="AC439" s="65"/>
      <c r="AD439" s="65"/>
      <c r="AE439" s="65"/>
    </row>
    <row r="440" spans="1:31" x14ac:dyDescent="0.2">
      <c r="V440" s="65"/>
      <c r="W440" s="65"/>
      <c r="X440" s="65"/>
      <c r="Y440" s="65"/>
      <c r="Z440" s="65"/>
      <c r="AA440" s="65"/>
      <c r="AB440" s="65"/>
      <c r="AC440" s="65"/>
      <c r="AD440" s="65"/>
      <c r="AE440" s="65"/>
    </row>
    <row r="441" spans="1:31" x14ac:dyDescent="0.2">
      <c r="A441" s="6" t="s">
        <v>11</v>
      </c>
      <c r="V441" s="65"/>
      <c r="W441" s="65"/>
      <c r="X441" s="65"/>
      <c r="Y441" s="65"/>
      <c r="Z441" s="65"/>
      <c r="AA441" s="65"/>
      <c r="AB441" s="65"/>
      <c r="AC441" s="65"/>
      <c r="AD441" s="65"/>
      <c r="AE441" s="65"/>
    </row>
    <row r="442" spans="1:31" x14ac:dyDescent="0.2">
      <c r="A442" s="14" t="s">
        <v>0</v>
      </c>
      <c r="B442" s="14" t="s">
        <v>46</v>
      </c>
      <c r="C442" s="14" t="s">
        <v>26</v>
      </c>
      <c r="D442" s="14" t="s">
        <v>46</v>
      </c>
      <c r="E442" s="14" t="s">
        <v>28</v>
      </c>
      <c r="F442" s="14" t="s">
        <v>43</v>
      </c>
      <c r="G442" s="14" t="s">
        <v>43</v>
      </c>
      <c r="H442" s="14" t="s">
        <v>14</v>
      </c>
      <c r="I442" s="14" t="s">
        <v>138</v>
      </c>
      <c r="J442" s="14" t="s">
        <v>30</v>
      </c>
      <c r="K442" s="14" t="s">
        <v>135</v>
      </c>
      <c r="L442" s="14" t="s">
        <v>13</v>
      </c>
      <c r="M442" s="14" t="s">
        <v>13</v>
      </c>
      <c r="N442" s="14" t="s">
        <v>31</v>
      </c>
      <c r="O442" s="14" t="s">
        <v>33</v>
      </c>
      <c r="P442" s="14" t="s">
        <v>33</v>
      </c>
      <c r="Q442" s="14" t="s">
        <v>145</v>
      </c>
      <c r="R442" s="14" t="s">
        <v>35</v>
      </c>
      <c r="S442" s="34" t="s">
        <v>37</v>
      </c>
      <c r="T442" s="14" t="s">
        <v>39</v>
      </c>
      <c r="U442" s="14" t="s">
        <v>41</v>
      </c>
      <c r="V442" s="65"/>
      <c r="W442" s="65"/>
      <c r="X442" s="65"/>
      <c r="Y442" s="65"/>
      <c r="Z442" s="65"/>
      <c r="AA442" s="65"/>
      <c r="AB442" s="65"/>
      <c r="AC442" s="65"/>
      <c r="AD442" s="65"/>
      <c r="AE442" s="65"/>
    </row>
    <row r="443" spans="1:31" ht="13.5" thickBot="1" x14ac:dyDescent="0.25">
      <c r="A443" s="18"/>
      <c r="B443" s="18" t="s">
        <v>48</v>
      </c>
      <c r="C443" s="18" t="s">
        <v>27</v>
      </c>
      <c r="D443" s="18" t="s">
        <v>47</v>
      </c>
      <c r="E443" s="18" t="s">
        <v>29</v>
      </c>
      <c r="F443" s="18" t="s">
        <v>44</v>
      </c>
      <c r="G443" s="18" t="s">
        <v>45</v>
      </c>
      <c r="H443" s="21" t="s">
        <v>137</v>
      </c>
      <c r="I443" s="18" t="s">
        <v>139</v>
      </c>
      <c r="J443" s="18" t="s">
        <v>146</v>
      </c>
      <c r="K443" s="18" t="s">
        <v>136</v>
      </c>
      <c r="L443" s="18" t="s">
        <v>134</v>
      </c>
      <c r="M443" s="18" t="s">
        <v>160</v>
      </c>
      <c r="N443" s="18" t="s">
        <v>32</v>
      </c>
      <c r="O443" s="18" t="s">
        <v>34</v>
      </c>
      <c r="P443" s="18" t="s">
        <v>133</v>
      </c>
      <c r="Q443" s="42" t="s">
        <v>144</v>
      </c>
      <c r="R443" s="18" t="s">
        <v>36</v>
      </c>
      <c r="S443" s="35" t="s">
        <v>38</v>
      </c>
      <c r="T443" s="18" t="s">
        <v>40</v>
      </c>
      <c r="U443" s="18" t="s">
        <v>42</v>
      </c>
      <c r="V443" s="65"/>
      <c r="W443" s="65"/>
      <c r="X443" s="65"/>
      <c r="Y443" s="65"/>
      <c r="Z443" s="65"/>
      <c r="AA443" s="65"/>
      <c r="AB443" s="65"/>
      <c r="AC443" s="65"/>
      <c r="AD443" s="65"/>
      <c r="AE443" s="65"/>
    </row>
    <row r="444" spans="1:31" ht="13.5" thickBot="1" x14ac:dyDescent="0.25">
      <c r="A444" s="24" t="s">
        <v>11</v>
      </c>
      <c r="B444" s="25"/>
      <c r="C444" s="25"/>
      <c r="D444" s="25"/>
      <c r="E444" s="25"/>
      <c r="F444" s="25"/>
      <c r="G444" s="25"/>
      <c r="H444" s="27"/>
      <c r="I444" s="27"/>
      <c r="J444" s="47">
        <f>440000/2</f>
        <v>220000</v>
      </c>
      <c r="K444" s="25"/>
      <c r="L444" s="25"/>
      <c r="M444" s="25"/>
      <c r="N444" s="31"/>
      <c r="O444" s="25"/>
      <c r="P444" s="25"/>
      <c r="Q444" s="29"/>
      <c r="R444" s="25"/>
      <c r="S444" s="25"/>
      <c r="T444" s="25"/>
      <c r="U444" s="48">
        <f>H444+J444+N444+O444+Q444</f>
        <v>220000</v>
      </c>
      <c r="V444" s="65"/>
      <c r="W444" s="65"/>
      <c r="X444" s="65"/>
      <c r="Y444" s="65"/>
      <c r="Z444" s="65"/>
      <c r="AA444" s="65"/>
      <c r="AB444" s="65"/>
      <c r="AC444" s="65"/>
      <c r="AD444" s="65"/>
      <c r="AE444" s="65"/>
    </row>
    <row r="445" spans="1:31" x14ac:dyDescent="0.2">
      <c r="V445" s="65"/>
      <c r="W445" s="65"/>
      <c r="X445" s="65"/>
      <c r="Y445" s="65"/>
      <c r="Z445" s="65"/>
      <c r="AA445" s="65"/>
      <c r="AB445" s="65"/>
      <c r="AC445" s="65"/>
      <c r="AD445" s="65"/>
      <c r="AE445" s="65"/>
    </row>
    <row r="446" spans="1:31" ht="18.75" x14ac:dyDescent="0.3">
      <c r="A446" s="33" t="s">
        <v>171</v>
      </c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V446" s="65"/>
      <c r="W446" s="65"/>
      <c r="X446" s="65"/>
      <c r="Y446" s="65"/>
      <c r="Z446" s="65"/>
      <c r="AA446" s="65"/>
      <c r="AB446" s="65"/>
      <c r="AC446" s="65"/>
      <c r="AD446" s="65"/>
      <c r="AE446" s="65"/>
    </row>
    <row r="447" spans="1:31" x14ac:dyDescent="0.2">
      <c r="V447" s="65"/>
      <c r="W447" s="65"/>
      <c r="X447" s="65"/>
      <c r="Y447" s="65"/>
      <c r="Z447" s="65"/>
      <c r="AA447" s="65"/>
      <c r="AB447" s="65"/>
      <c r="AC447" s="65"/>
      <c r="AD447" s="65"/>
      <c r="AE447" s="65"/>
    </row>
    <row r="448" spans="1:31" ht="17.25" x14ac:dyDescent="0.3">
      <c r="A448" s="94" t="s">
        <v>184</v>
      </c>
      <c r="V448" s="65"/>
      <c r="W448" s="65"/>
      <c r="X448" s="65"/>
      <c r="Y448" s="65"/>
      <c r="Z448" s="65"/>
      <c r="AA448" s="65"/>
      <c r="AB448" s="65"/>
      <c r="AC448" s="65"/>
      <c r="AD448" s="65"/>
      <c r="AE448" s="65"/>
    </row>
    <row r="449" spans="22:31" x14ac:dyDescent="0.2">
      <c r="V449" s="65"/>
      <c r="W449" s="65"/>
      <c r="X449" s="65"/>
      <c r="Y449" s="65"/>
      <c r="Z449" s="65"/>
      <c r="AA449" s="65"/>
      <c r="AB449" s="65"/>
      <c r="AC449" s="65"/>
      <c r="AD449" s="65"/>
      <c r="AE449" s="65"/>
    </row>
    <row r="450" spans="22:31" x14ac:dyDescent="0.2">
      <c r="V450" s="65"/>
      <c r="W450" s="65"/>
      <c r="X450" s="65"/>
      <c r="Y450" s="65"/>
      <c r="Z450" s="65"/>
      <c r="AA450" s="65"/>
      <c r="AB450" s="65"/>
      <c r="AC450" s="65"/>
      <c r="AD450" s="65"/>
      <c r="AE450" s="65"/>
    </row>
    <row r="451" spans="22:31" x14ac:dyDescent="0.2">
      <c r="V451" s="65"/>
      <c r="W451" s="65"/>
      <c r="X451" s="65"/>
      <c r="Y451" s="65"/>
      <c r="Z451" s="65"/>
      <c r="AA451" s="65"/>
      <c r="AB451" s="65"/>
      <c r="AC451" s="65"/>
      <c r="AD451" s="65"/>
      <c r="AE451" s="65"/>
    </row>
    <row r="452" spans="22:31" x14ac:dyDescent="0.2">
      <c r="V452" s="65"/>
      <c r="W452" s="65"/>
      <c r="X452" s="65"/>
      <c r="Y452" s="65"/>
      <c r="Z452" s="65"/>
      <c r="AA452" s="65"/>
      <c r="AB452" s="65"/>
      <c r="AC452" s="65"/>
      <c r="AD452" s="65"/>
      <c r="AE452" s="65"/>
    </row>
    <row r="453" spans="22:31" x14ac:dyDescent="0.2">
      <c r="V453" s="65"/>
      <c r="W453" s="65"/>
      <c r="X453" s="65"/>
      <c r="Y453" s="65"/>
      <c r="Z453" s="65"/>
      <c r="AA453" s="65"/>
      <c r="AB453" s="65"/>
      <c r="AC453" s="65"/>
      <c r="AD453" s="65"/>
      <c r="AE453" s="65"/>
    </row>
    <row r="454" spans="22:31" x14ac:dyDescent="0.2">
      <c r="V454" s="65"/>
      <c r="W454" s="65"/>
      <c r="X454" s="65"/>
      <c r="Y454" s="65"/>
      <c r="Z454" s="65"/>
      <c r="AA454" s="65"/>
      <c r="AB454" s="65"/>
      <c r="AC454" s="65"/>
      <c r="AD454" s="65"/>
      <c r="AE454" s="65"/>
    </row>
    <row r="455" spans="22:31" x14ac:dyDescent="0.2">
      <c r="V455" s="65"/>
      <c r="W455" s="65"/>
      <c r="X455" s="65"/>
      <c r="Y455" s="65"/>
      <c r="Z455" s="65"/>
      <c r="AA455" s="65"/>
      <c r="AB455" s="65"/>
      <c r="AC455" s="65"/>
      <c r="AD455" s="65"/>
      <c r="AE455" s="65"/>
    </row>
    <row r="456" spans="22:31" x14ac:dyDescent="0.2">
      <c r="V456" s="65"/>
      <c r="W456" s="65"/>
      <c r="X456" s="65"/>
      <c r="Y456" s="65"/>
      <c r="Z456" s="65"/>
      <c r="AA456" s="65"/>
      <c r="AB456" s="65"/>
      <c r="AC456" s="65"/>
      <c r="AD456" s="65"/>
      <c r="AE456" s="65"/>
    </row>
    <row r="457" spans="22:31" x14ac:dyDescent="0.2">
      <c r="V457" s="65"/>
      <c r="W457" s="65"/>
      <c r="X457" s="65"/>
      <c r="Y457" s="65"/>
      <c r="Z457" s="65"/>
      <c r="AA457" s="65"/>
      <c r="AB457" s="65"/>
      <c r="AC457" s="65"/>
      <c r="AD457" s="65"/>
      <c r="AE457" s="65"/>
    </row>
    <row r="458" spans="22:31" x14ac:dyDescent="0.2">
      <c r="V458" s="65"/>
      <c r="W458" s="65"/>
      <c r="X458" s="65"/>
      <c r="Y458" s="65"/>
      <c r="Z458" s="65"/>
      <c r="AA458" s="65"/>
      <c r="AB458" s="65"/>
      <c r="AC458" s="65"/>
      <c r="AD458" s="65"/>
      <c r="AE458" s="65"/>
    </row>
    <row r="459" spans="22:31" x14ac:dyDescent="0.2">
      <c r="V459" s="65"/>
      <c r="W459" s="65"/>
      <c r="X459" s="65"/>
      <c r="Y459" s="65"/>
      <c r="Z459" s="65"/>
      <c r="AA459" s="65"/>
      <c r="AB459" s="65"/>
      <c r="AC459" s="65"/>
      <c r="AD459" s="65"/>
      <c r="AE459" s="65"/>
    </row>
    <row r="460" spans="22:31" x14ac:dyDescent="0.2">
      <c r="V460" s="65"/>
      <c r="W460" s="65"/>
      <c r="X460" s="65"/>
      <c r="Y460" s="65"/>
      <c r="Z460" s="65"/>
      <c r="AA460" s="65"/>
      <c r="AB460" s="65"/>
      <c r="AC460" s="65"/>
      <c r="AD460" s="65"/>
      <c r="AE460" s="65"/>
    </row>
    <row r="461" spans="22:31" x14ac:dyDescent="0.2">
      <c r="V461" s="65"/>
      <c r="W461" s="65"/>
      <c r="X461" s="65"/>
      <c r="Y461" s="65"/>
      <c r="Z461" s="65"/>
      <c r="AA461" s="65"/>
      <c r="AB461" s="65"/>
      <c r="AC461" s="65"/>
      <c r="AD461" s="65"/>
      <c r="AE461" s="65"/>
    </row>
    <row r="462" spans="22:31" x14ac:dyDescent="0.2">
      <c r="V462" s="65"/>
      <c r="W462" s="65"/>
      <c r="X462" s="65"/>
      <c r="Y462" s="65"/>
      <c r="Z462" s="65"/>
      <c r="AA462" s="65"/>
      <c r="AB462" s="65"/>
      <c r="AC462" s="65"/>
      <c r="AD462" s="65"/>
      <c r="AE462" s="65"/>
    </row>
    <row r="463" spans="22:31" x14ac:dyDescent="0.2">
      <c r="V463" s="65"/>
      <c r="W463" s="65"/>
      <c r="X463" s="65"/>
      <c r="Y463" s="65"/>
      <c r="Z463" s="65"/>
      <c r="AA463" s="65"/>
      <c r="AB463" s="65"/>
      <c r="AC463" s="65"/>
      <c r="AD463" s="65"/>
      <c r="AE463" s="65"/>
    </row>
    <row r="464" spans="22:31" x14ac:dyDescent="0.2">
      <c r="V464" s="65"/>
      <c r="W464" s="65"/>
      <c r="X464" s="65"/>
      <c r="Y464" s="65"/>
      <c r="Z464" s="65"/>
      <c r="AA464" s="65"/>
      <c r="AB464" s="65"/>
      <c r="AC464" s="65"/>
      <c r="AD464" s="65"/>
      <c r="AE464" s="65"/>
    </row>
    <row r="465" spans="1:31" x14ac:dyDescent="0.2">
      <c r="V465" s="65"/>
      <c r="W465" s="65"/>
      <c r="X465" s="65"/>
      <c r="Y465" s="65"/>
      <c r="Z465" s="65"/>
      <c r="AA465" s="65"/>
      <c r="AB465" s="65"/>
      <c r="AC465" s="65"/>
      <c r="AD465" s="65"/>
      <c r="AE465" s="65"/>
    </row>
    <row r="466" spans="1:31" x14ac:dyDescent="0.2">
      <c r="V466" s="65"/>
      <c r="W466" s="65"/>
      <c r="X466" s="65"/>
      <c r="Y466" s="65"/>
      <c r="Z466" s="65"/>
      <c r="AA466" s="65"/>
      <c r="AB466" s="65"/>
      <c r="AC466" s="65"/>
      <c r="AD466" s="65"/>
      <c r="AE466" s="65"/>
    </row>
    <row r="467" spans="1:31" x14ac:dyDescent="0.2">
      <c r="V467" s="65"/>
      <c r="W467" s="65"/>
      <c r="X467" s="65"/>
      <c r="Y467" s="65"/>
      <c r="Z467" s="65"/>
      <c r="AA467" s="65"/>
      <c r="AB467" s="65"/>
      <c r="AC467" s="65"/>
      <c r="AD467" s="65"/>
      <c r="AE467" s="65"/>
    </row>
    <row r="468" spans="1:31" x14ac:dyDescent="0.2">
      <c r="V468" s="65"/>
      <c r="W468" s="65"/>
      <c r="X468" s="65"/>
      <c r="Y468" s="65"/>
      <c r="Z468" s="65"/>
      <c r="AA468" s="65"/>
      <c r="AB468" s="65"/>
      <c r="AC468" s="65"/>
      <c r="AD468" s="65"/>
      <c r="AE468" s="65"/>
    </row>
    <row r="469" spans="1:31" x14ac:dyDescent="0.2">
      <c r="V469" s="65"/>
      <c r="W469" s="65"/>
      <c r="X469" s="65"/>
      <c r="Y469" s="65"/>
      <c r="Z469" s="65"/>
      <c r="AA469" s="65"/>
      <c r="AB469" s="65"/>
      <c r="AC469" s="65"/>
      <c r="AD469" s="65"/>
      <c r="AE469" s="65"/>
    </row>
    <row r="470" spans="1:31" x14ac:dyDescent="0.2">
      <c r="V470" s="65"/>
      <c r="W470" s="65"/>
      <c r="X470" s="65"/>
      <c r="Y470" s="65"/>
      <c r="Z470" s="65"/>
      <c r="AA470" s="65"/>
      <c r="AB470" s="65"/>
      <c r="AC470" s="65"/>
      <c r="AD470" s="65"/>
      <c r="AE470" s="65"/>
    </row>
    <row r="471" spans="1:31" x14ac:dyDescent="0.2">
      <c r="V471" s="65"/>
      <c r="W471" s="65"/>
      <c r="X471" s="65"/>
      <c r="Y471" s="65"/>
      <c r="Z471" s="65"/>
      <c r="AA471" s="65"/>
      <c r="AB471" s="65"/>
      <c r="AC471" s="65"/>
      <c r="AD471" s="65"/>
      <c r="AE471" s="65"/>
    </row>
    <row r="472" spans="1:31" x14ac:dyDescent="0.2">
      <c r="V472" s="65"/>
      <c r="W472" s="65"/>
      <c r="X472" s="65"/>
      <c r="Y472" s="65"/>
      <c r="Z472" s="65"/>
      <c r="AA472" s="65"/>
      <c r="AB472" s="65"/>
      <c r="AC472" s="65"/>
      <c r="AD472" s="65"/>
      <c r="AE472" s="65"/>
    </row>
    <row r="473" spans="1:31" x14ac:dyDescent="0.2">
      <c r="V473" s="65"/>
      <c r="W473" s="65"/>
      <c r="X473" s="65"/>
      <c r="Y473" s="65"/>
      <c r="Z473" s="65"/>
      <c r="AA473" s="65"/>
      <c r="AB473" s="65"/>
      <c r="AC473" s="65"/>
      <c r="AD473" s="65"/>
      <c r="AE473" s="65"/>
    </row>
    <row r="474" spans="1:31" x14ac:dyDescent="0.2">
      <c r="V474" s="65"/>
      <c r="W474" s="65"/>
      <c r="X474" s="65"/>
      <c r="Y474" s="65"/>
      <c r="Z474" s="65"/>
      <c r="AA474" s="65"/>
      <c r="AB474" s="65"/>
      <c r="AC474" s="65"/>
      <c r="AD474" s="65"/>
      <c r="AE474" s="65"/>
    </row>
    <row r="475" spans="1:31" x14ac:dyDescent="0.2">
      <c r="V475" s="65"/>
      <c r="W475" s="65"/>
      <c r="X475" s="65"/>
      <c r="Y475" s="65"/>
      <c r="Z475" s="65"/>
      <c r="AA475" s="65"/>
      <c r="AB475" s="65"/>
      <c r="AC475" s="65"/>
      <c r="AD475" s="65"/>
      <c r="AE475" s="65"/>
    </row>
    <row r="476" spans="1:31" x14ac:dyDescent="0.2">
      <c r="V476" s="65"/>
      <c r="W476" s="65"/>
      <c r="X476" s="65"/>
      <c r="Y476" s="65"/>
      <c r="Z476" s="65"/>
      <c r="AA476" s="65"/>
      <c r="AB476" s="65"/>
      <c r="AC476" s="65"/>
      <c r="AD476" s="65"/>
      <c r="AE476" s="65"/>
    </row>
    <row r="477" spans="1:31" x14ac:dyDescent="0.2">
      <c r="V477" s="65"/>
      <c r="W477" s="65"/>
      <c r="X477" s="65"/>
      <c r="Y477" s="65"/>
      <c r="Z477" s="65"/>
      <c r="AA477" s="65"/>
      <c r="AB477" s="65"/>
      <c r="AC477" s="65"/>
      <c r="AD477" s="65"/>
      <c r="AE477" s="65"/>
    </row>
    <row r="478" spans="1:31" x14ac:dyDescent="0.2">
      <c r="V478" s="65"/>
      <c r="W478" s="65"/>
      <c r="X478" s="65"/>
      <c r="Y478" s="65"/>
      <c r="Z478" s="65"/>
      <c r="AA478" s="65"/>
      <c r="AB478" s="65"/>
      <c r="AC478" s="65"/>
      <c r="AD478" s="65"/>
      <c r="AE478" s="65"/>
    </row>
    <row r="479" spans="1:31" x14ac:dyDescent="0.2">
      <c r="A479" s="79" t="s">
        <v>168</v>
      </c>
      <c r="V479" s="65"/>
      <c r="W479" s="65"/>
      <c r="X479" s="65"/>
      <c r="Y479" s="65"/>
      <c r="Z479" s="65"/>
      <c r="AA479" s="65"/>
      <c r="AB479" s="65"/>
      <c r="AC479" s="65"/>
      <c r="AD479" s="65"/>
      <c r="AE479" s="65"/>
    </row>
    <row r="480" spans="1:31" x14ac:dyDescent="0.2">
      <c r="A480" s="14" t="s">
        <v>0</v>
      </c>
      <c r="B480" s="14" t="s">
        <v>46</v>
      </c>
      <c r="C480" s="14" t="s">
        <v>26</v>
      </c>
      <c r="D480" s="14" t="s">
        <v>46</v>
      </c>
      <c r="E480" s="14" t="s">
        <v>28</v>
      </c>
      <c r="F480" s="14" t="s">
        <v>43</v>
      </c>
      <c r="G480" s="14" t="s">
        <v>43</v>
      </c>
      <c r="H480" s="14" t="s">
        <v>14</v>
      </c>
      <c r="I480" s="14" t="s">
        <v>138</v>
      </c>
      <c r="J480" s="14" t="s">
        <v>30</v>
      </c>
      <c r="K480" s="14" t="s">
        <v>135</v>
      </c>
      <c r="L480" s="14" t="s">
        <v>13</v>
      </c>
      <c r="M480" s="14" t="s">
        <v>13</v>
      </c>
      <c r="N480" s="14" t="s">
        <v>31</v>
      </c>
      <c r="O480" s="14" t="s">
        <v>33</v>
      </c>
      <c r="P480" s="14" t="s">
        <v>33</v>
      </c>
      <c r="Q480" s="14" t="s">
        <v>161</v>
      </c>
      <c r="R480" s="14" t="s">
        <v>162</v>
      </c>
      <c r="S480" s="34" t="s">
        <v>37</v>
      </c>
      <c r="T480" s="14" t="s">
        <v>39</v>
      </c>
      <c r="U480" s="14" t="s">
        <v>41</v>
      </c>
      <c r="V480" s="65"/>
      <c r="W480" s="65"/>
      <c r="X480" s="65"/>
      <c r="Y480" s="65"/>
      <c r="Z480" s="65"/>
      <c r="AA480" s="65"/>
      <c r="AB480" s="65"/>
      <c r="AC480" s="65"/>
      <c r="AD480" s="65"/>
      <c r="AE480" s="65"/>
    </row>
    <row r="481" spans="1:31" ht="13.5" thickBot="1" x14ac:dyDescent="0.25">
      <c r="A481" s="15"/>
      <c r="B481" s="18" t="s">
        <v>48</v>
      </c>
      <c r="C481" s="18" t="s">
        <v>27</v>
      </c>
      <c r="D481" s="18" t="s">
        <v>47</v>
      </c>
      <c r="E481" s="18" t="s">
        <v>29</v>
      </c>
      <c r="F481" s="18" t="s">
        <v>44</v>
      </c>
      <c r="G481" s="18" t="s">
        <v>45</v>
      </c>
      <c r="H481" s="21" t="s">
        <v>137</v>
      </c>
      <c r="I481" s="18" t="s">
        <v>139</v>
      </c>
      <c r="J481" s="18" t="s">
        <v>146</v>
      </c>
      <c r="K481" s="18" t="s">
        <v>136</v>
      </c>
      <c r="L481" s="18" t="s">
        <v>134</v>
      </c>
      <c r="M481" s="18" t="s">
        <v>160</v>
      </c>
      <c r="N481" s="18" t="s">
        <v>32</v>
      </c>
      <c r="O481" s="18" t="s">
        <v>34</v>
      </c>
      <c r="P481" s="18" t="s">
        <v>133</v>
      </c>
      <c r="Q481" s="42"/>
      <c r="R481" s="18" t="s">
        <v>173</v>
      </c>
      <c r="S481" s="35" t="s">
        <v>38</v>
      </c>
      <c r="T481" s="18" t="s">
        <v>40</v>
      </c>
      <c r="U481" s="18" t="s">
        <v>42</v>
      </c>
      <c r="V481" s="65"/>
      <c r="W481" s="65"/>
      <c r="X481" s="65"/>
      <c r="Y481" s="65"/>
      <c r="Z481" s="65"/>
      <c r="AA481" s="65"/>
      <c r="AB481" s="65"/>
      <c r="AC481" s="65"/>
      <c r="AD481" s="65"/>
      <c r="AE481" s="65"/>
    </row>
    <row r="482" spans="1:31" ht="13.5" thickBot="1" x14ac:dyDescent="0.25">
      <c r="A482" s="24" t="s">
        <v>169</v>
      </c>
      <c r="B482" s="25"/>
      <c r="C482" s="25"/>
      <c r="D482" s="25"/>
      <c r="E482" s="25"/>
      <c r="F482" s="25"/>
      <c r="G482" s="27"/>
      <c r="H482" s="27">
        <f>H483+H484</f>
        <v>2000000</v>
      </c>
      <c r="I482" s="27"/>
      <c r="J482" s="27">
        <f>J484</f>
        <v>195000</v>
      </c>
      <c r="K482" s="27"/>
      <c r="L482" s="27">
        <f>L483+L484</f>
        <v>150000</v>
      </c>
      <c r="M482" s="27">
        <f>M483+M484</f>
        <v>1202240</v>
      </c>
      <c r="N482" s="27"/>
      <c r="O482" s="27">
        <f>O483+O484</f>
        <v>97230</v>
      </c>
      <c r="P482" s="27">
        <f>P483+P484</f>
        <v>3500000</v>
      </c>
      <c r="Q482" s="27">
        <f>Q483+Q484</f>
        <v>200000</v>
      </c>
      <c r="R482" s="25"/>
      <c r="S482" s="25"/>
      <c r="T482" s="25"/>
      <c r="U482" s="78">
        <f>H482+I482+J482+K482+L482+M482+N482+O482+P482+Q482+R482</f>
        <v>7344470</v>
      </c>
      <c r="V482" s="65"/>
      <c r="W482" s="65"/>
      <c r="X482" s="65"/>
      <c r="Y482" s="65"/>
      <c r="Z482" s="65"/>
      <c r="AA482" s="65"/>
      <c r="AB482" s="65"/>
      <c r="AC482" s="65"/>
      <c r="AD482" s="65"/>
      <c r="AE482" s="65"/>
    </row>
    <row r="483" spans="1:31" x14ac:dyDescent="0.2">
      <c r="A483" s="19" t="s">
        <v>168</v>
      </c>
      <c r="B483" s="19"/>
      <c r="C483" s="19"/>
      <c r="D483" s="19"/>
      <c r="E483" s="19"/>
      <c r="F483" s="19"/>
      <c r="G483" s="19"/>
      <c r="H483" s="22"/>
      <c r="I483" s="36"/>
      <c r="J483" s="19"/>
      <c r="K483" s="19"/>
      <c r="L483" s="19"/>
      <c r="M483" s="19"/>
      <c r="N483" s="23"/>
      <c r="O483" s="19"/>
      <c r="P483" s="19"/>
      <c r="Q483" s="19">
        <f>400000/2</f>
        <v>200000</v>
      </c>
      <c r="R483" s="19"/>
      <c r="S483" s="19"/>
      <c r="T483" s="19"/>
      <c r="U483" s="19"/>
      <c r="V483" s="65"/>
      <c r="W483" s="65"/>
      <c r="X483" s="65"/>
      <c r="Y483" s="65"/>
      <c r="Z483" s="65"/>
      <c r="AA483" s="65"/>
      <c r="AB483" s="65"/>
      <c r="AC483" s="65"/>
      <c r="AD483" s="65"/>
      <c r="AE483" s="65"/>
    </row>
    <row r="484" spans="1:31" x14ac:dyDescent="0.2">
      <c r="A484" s="4" t="s">
        <v>170</v>
      </c>
      <c r="B484" s="4"/>
      <c r="C484" s="4"/>
      <c r="D484" s="4"/>
      <c r="E484" s="4"/>
      <c r="F484" s="4"/>
      <c r="G484" s="4"/>
      <c r="H484" s="4">
        <f>4000000/2</f>
        <v>2000000</v>
      </c>
      <c r="I484" s="4"/>
      <c r="J484" s="4">
        <f>390000/2</f>
        <v>195000</v>
      </c>
      <c r="K484" s="4"/>
      <c r="L484" s="4">
        <f>300000/2</f>
        <v>150000</v>
      </c>
      <c r="M484" s="4">
        <v>1202240</v>
      </c>
      <c r="N484" s="4"/>
      <c r="O484" s="4">
        <v>97230</v>
      </c>
      <c r="P484" s="4">
        <f>7000000/2</f>
        <v>3500000</v>
      </c>
      <c r="Q484" s="4"/>
      <c r="R484" s="4"/>
      <c r="S484" s="4"/>
      <c r="T484" s="4"/>
      <c r="U484" s="4"/>
      <c r="V484" s="65"/>
      <c r="W484" s="65"/>
      <c r="X484" s="65"/>
      <c r="Y484" s="65"/>
      <c r="Z484" s="65"/>
      <c r="AA484" s="65"/>
      <c r="AB484" s="65"/>
      <c r="AC484" s="65"/>
      <c r="AD484" s="65"/>
      <c r="AE484" s="65"/>
    </row>
    <row r="485" spans="1:31" ht="18.75" x14ac:dyDescent="0.3">
      <c r="A485" s="33" t="s">
        <v>172</v>
      </c>
      <c r="B485" s="33"/>
      <c r="C485" s="33"/>
      <c r="D485" s="33"/>
      <c r="E485" s="33"/>
      <c r="F485" s="33"/>
      <c r="G485" s="33"/>
      <c r="H485" s="33"/>
      <c r="I485" s="33"/>
      <c r="J485" s="59"/>
      <c r="K485" s="59"/>
      <c r="V485" s="65"/>
      <c r="W485" s="65"/>
      <c r="X485" s="65"/>
      <c r="Y485" s="65"/>
      <c r="Z485" s="65"/>
      <c r="AA485" s="65"/>
      <c r="AB485" s="65"/>
      <c r="AC485" s="65"/>
      <c r="AD485" s="65"/>
      <c r="AE485" s="65"/>
    </row>
    <row r="486" spans="1:31" x14ac:dyDescent="0.2">
      <c r="V486" s="65"/>
      <c r="W486" s="65"/>
      <c r="X486" s="65"/>
      <c r="Y486" s="65"/>
      <c r="Z486" s="65"/>
      <c r="AA486" s="65"/>
      <c r="AB486" s="65"/>
      <c r="AC486" s="65"/>
      <c r="AD486" s="65"/>
      <c r="AE486" s="65"/>
    </row>
    <row r="487" spans="1:31" ht="17.25" x14ac:dyDescent="0.3">
      <c r="A487" s="94" t="s">
        <v>184</v>
      </c>
      <c r="V487" s="65"/>
      <c r="W487" s="65"/>
      <c r="X487" s="65"/>
      <c r="Y487" s="65"/>
      <c r="Z487" s="65"/>
      <c r="AA487" s="65"/>
      <c r="AB487" s="65"/>
      <c r="AC487" s="65"/>
      <c r="AD487" s="65"/>
      <c r="AE487" s="65"/>
    </row>
    <row r="488" spans="1:31" x14ac:dyDescent="0.2">
      <c r="V488" s="65"/>
      <c r="W488" s="65"/>
      <c r="X488" s="65"/>
      <c r="Y488" s="65"/>
      <c r="Z488" s="65"/>
      <c r="AA488" s="65"/>
      <c r="AB488" s="65"/>
      <c r="AC488" s="65"/>
      <c r="AD488" s="65"/>
      <c r="AE488" s="65"/>
    </row>
    <row r="489" spans="1:31" x14ac:dyDescent="0.2">
      <c r="V489" s="65"/>
      <c r="W489" s="65"/>
      <c r="X489" s="65"/>
      <c r="Y489" s="65"/>
      <c r="Z489" s="65"/>
      <c r="AA489" s="65"/>
      <c r="AB489" s="65"/>
      <c r="AC489" s="65"/>
      <c r="AD489" s="65"/>
      <c r="AE489" s="65"/>
    </row>
    <row r="490" spans="1:31" x14ac:dyDescent="0.2">
      <c r="V490" s="65"/>
      <c r="W490" s="65"/>
      <c r="X490" s="65"/>
      <c r="Y490" s="65"/>
      <c r="Z490" s="65"/>
      <c r="AA490" s="65"/>
      <c r="AB490" s="65"/>
      <c r="AC490" s="65"/>
      <c r="AD490" s="65"/>
      <c r="AE490" s="65"/>
    </row>
    <row r="491" spans="1:31" x14ac:dyDescent="0.2">
      <c r="V491" s="65"/>
      <c r="W491" s="65"/>
      <c r="X491" s="65"/>
      <c r="Y491" s="65"/>
      <c r="Z491" s="65"/>
      <c r="AA491" s="65"/>
      <c r="AB491" s="65"/>
      <c r="AC491" s="65"/>
      <c r="AD491" s="65"/>
      <c r="AE491" s="65"/>
    </row>
    <row r="492" spans="1:31" x14ac:dyDescent="0.2">
      <c r="V492" s="65"/>
      <c r="W492" s="65"/>
      <c r="X492" s="65"/>
      <c r="Y492" s="65"/>
      <c r="Z492" s="65"/>
      <c r="AA492" s="65"/>
      <c r="AB492" s="65"/>
      <c r="AC492" s="65"/>
      <c r="AD492" s="65"/>
      <c r="AE492" s="65"/>
    </row>
    <row r="493" spans="1:31" x14ac:dyDescent="0.2">
      <c r="V493" s="65"/>
      <c r="W493" s="65"/>
      <c r="X493" s="65"/>
      <c r="Y493" s="65"/>
      <c r="Z493" s="65"/>
      <c r="AA493" s="65"/>
      <c r="AB493" s="65"/>
      <c r="AC493" s="65"/>
      <c r="AD493" s="65"/>
      <c r="AE493" s="65"/>
    </row>
    <row r="494" spans="1:31" x14ac:dyDescent="0.2">
      <c r="V494" s="65"/>
      <c r="W494" s="65"/>
      <c r="X494" s="65"/>
      <c r="Y494" s="65"/>
      <c r="Z494" s="65"/>
      <c r="AA494" s="65"/>
      <c r="AB494" s="65"/>
      <c r="AC494" s="65"/>
      <c r="AD494" s="65"/>
      <c r="AE494" s="65"/>
    </row>
    <row r="495" spans="1:31" x14ac:dyDescent="0.2">
      <c r="V495" s="65"/>
      <c r="W495" s="65"/>
      <c r="X495" s="65"/>
      <c r="Y495" s="65"/>
      <c r="Z495" s="65"/>
      <c r="AA495" s="65"/>
      <c r="AB495" s="65"/>
      <c r="AC495" s="65"/>
      <c r="AD495" s="65"/>
      <c r="AE495" s="65"/>
    </row>
    <row r="496" spans="1:31" x14ac:dyDescent="0.2">
      <c r="V496" s="65"/>
      <c r="W496" s="65"/>
      <c r="X496" s="65"/>
      <c r="Y496" s="65"/>
      <c r="Z496" s="65"/>
      <c r="AA496" s="65"/>
      <c r="AB496" s="65"/>
      <c r="AC496" s="65"/>
      <c r="AD496" s="65"/>
      <c r="AE496" s="65"/>
    </row>
    <row r="497" spans="22:31" x14ac:dyDescent="0.2">
      <c r="V497" s="65"/>
      <c r="W497" s="65"/>
      <c r="X497" s="65"/>
      <c r="Y497" s="65"/>
      <c r="Z497" s="65"/>
      <c r="AA497" s="65"/>
      <c r="AB497" s="65"/>
      <c r="AC497" s="65"/>
      <c r="AD497" s="65"/>
      <c r="AE497" s="65"/>
    </row>
    <row r="498" spans="22:31" x14ac:dyDescent="0.2">
      <c r="V498" s="65"/>
      <c r="W498" s="65"/>
      <c r="X498" s="65"/>
      <c r="Y498" s="65"/>
      <c r="Z498" s="65"/>
      <c r="AA498" s="65"/>
      <c r="AB498" s="65"/>
      <c r="AC498" s="65"/>
      <c r="AD498" s="65"/>
      <c r="AE498" s="65"/>
    </row>
    <row r="499" spans="22:31" x14ac:dyDescent="0.2">
      <c r="V499" s="65"/>
      <c r="W499" s="65"/>
      <c r="X499" s="65"/>
      <c r="Y499" s="65"/>
      <c r="Z499" s="65"/>
      <c r="AA499" s="65"/>
      <c r="AB499" s="65"/>
      <c r="AC499" s="65"/>
      <c r="AD499" s="65"/>
      <c r="AE499" s="65"/>
    </row>
    <row r="500" spans="22:31" x14ac:dyDescent="0.2">
      <c r="V500" s="65"/>
      <c r="W500" s="65"/>
      <c r="X500" s="65"/>
      <c r="Y500" s="65"/>
      <c r="Z500" s="65"/>
      <c r="AA500" s="65"/>
      <c r="AB500" s="65"/>
      <c r="AC500" s="65"/>
      <c r="AD500" s="65"/>
      <c r="AE500" s="65"/>
    </row>
    <row r="501" spans="22:31" x14ac:dyDescent="0.2">
      <c r="V501" s="65"/>
      <c r="W501" s="65"/>
      <c r="X501" s="65"/>
      <c r="Y501" s="65"/>
      <c r="Z501" s="65"/>
      <c r="AA501" s="65"/>
      <c r="AB501" s="65"/>
      <c r="AC501" s="65"/>
      <c r="AD501" s="65"/>
      <c r="AE501" s="65"/>
    </row>
    <row r="502" spans="22:31" x14ac:dyDescent="0.2">
      <c r="V502" s="65"/>
      <c r="W502" s="65"/>
      <c r="X502" s="65"/>
      <c r="Y502" s="65"/>
      <c r="Z502" s="65"/>
      <c r="AA502" s="65"/>
      <c r="AB502" s="65"/>
      <c r="AC502" s="65"/>
      <c r="AD502" s="65"/>
      <c r="AE502" s="65"/>
    </row>
    <row r="503" spans="22:31" x14ac:dyDescent="0.2">
      <c r="V503" s="65"/>
      <c r="W503" s="65"/>
      <c r="X503" s="65"/>
      <c r="Y503" s="65"/>
      <c r="Z503" s="65"/>
      <c r="AA503" s="65"/>
      <c r="AB503" s="65"/>
      <c r="AC503" s="65"/>
      <c r="AD503" s="65"/>
      <c r="AE503" s="65"/>
    </row>
    <row r="504" spans="22:31" x14ac:dyDescent="0.2">
      <c r="V504" s="65"/>
      <c r="W504" s="65"/>
      <c r="X504" s="65"/>
      <c r="Y504" s="65"/>
      <c r="Z504" s="65"/>
      <c r="AA504" s="65"/>
      <c r="AB504" s="65"/>
      <c r="AC504" s="65"/>
      <c r="AD504" s="65"/>
      <c r="AE504" s="65"/>
    </row>
    <row r="505" spans="22:31" x14ac:dyDescent="0.2">
      <c r="V505" s="65"/>
      <c r="W505" s="65"/>
      <c r="X505" s="65"/>
      <c r="Y505" s="65"/>
      <c r="Z505" s="65"/>
      <c r="AA505" s="65"/>
      <c r="AB505" s="65"/>
      <c r="AC505" s="65"/>
      <c r="AD505" s="65"/>
      <c r="AE505" s="65"/>
    </row>
    <row r="506" spans="22:31" x14ac:dyDescent="0.2">
      <c r="V506" s="65"/>
      <c r="W506" s="65"/>
      <c r="X506" s="65"/>
      <c r="Y506" s="65"/>
      <c r="Z506" s="65"/>
      <c r="AA506" s="65"/>
      <c r="AB506" s="65"/>
      <c r="AC506" s="65"/>
      <c r="AD506" s="65"/>
      <c r="AE506" s="65"/>
    </row>
    <row r="507" spans="22:31" x14ac:dyDescent="0.2">
      <c r="V507" s="65"/>
      <c r="W507" s="65"/>
      <c r="X507" s="65"/>
      <c r="Y507" s="65"/>
      <c r="Z507" s="65"/>
      <c r="AA507" s="65"/>
      <c r="AB507" s="65"/>
      <c r="AC507" s="65"/>
      <c r="AD507" s="65"/>
      <c r="AE507" s="65"/>
    </row>
    <row r="508" spans="22:31" x14ac:dyDescent="0.2">
      <c r="V508" s="65"/>
      <c r="W508" s="65"/>
      <c r="X508" s="65"/>
      <c r="Y508" s="65"/>
      <c r="Z508" s="65"/>
      <c r="AA508" s="65"/>
      <c r="AB508" s="65"/>
      <c r="AC508" s="65"/>
      <c r="AD508" s="65"/>
      <c r="AE508" s="65"/>
    </row>
    <row r="509" spans="22:31" x14ac:dyDescent="0.2">
      <c r="V509" s="65"/>
      <c r="W509" s="65"/>
      <c r="X509" s="65"/>
      <c r="Y509" s="65"/>
      <c r="Z509" s="65"/>
      <c r="AA509" s="65"/>
      <c r="AB509" s="65"/>
      <c r="AC509" s="65"/>
      <c r="AD509" s="65"/>
      <c r="AE509" s="65"/>
    </row>
    <row r="510" spans="22:31" x14ac:dyDescent="0.2">
      <c r="V510" s="65"/>
      <c r="W510" s="65"/>
      <c r="X510" s="65"/>
      <c r="Y510" s="65"/>
      <c r="Z510" s="65"/>
      <c r="AA510" s="65"/>
      <c r="AB510" s="65"/>
      <c r="AC510" s="65"/>
      <c r="AD510" s="65"/>
      <c r="AE510" s="65"/>
    </row>
    <row r="511" spans="22:31" x14ac:dyDescent="0.2">
      <c r="V511" s="65"/>
      <c r="W511" s="65"/>
      <c r="X511" s="65"/>
      <c r="Y511" s="65"/>
      <c r="Z511" s="65"/>
      <c r="AA511" s="65"/>
      <c r="AB511" s="65"/>
      <c r="AC511" s="65"/>
      <c r="AD511" s="65"/>
      <c r="AE511" s="65"/>
    </row>
  </sheetData>
  <mergeCells count="1">
    <mergeCell ref="A1:U1"/>
  </mergeCells>
  <pageMargins left="0.19685039370078741" right="0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511"/>
  <sheetViews>
    <sheetView tabSelected="1" topLeftCell="A481" zoomScale="130" zoomScaleNormal="130" workbookViewId="0">
      <selection activeCell="N492" sqref="N492"/>
    </sheetView>
  </sheetViews>
  <sheetFormatPr defaultRowHeight="12.75" x14ac:dyDescent="0.2"/>
  <cols>
    <col min="1" max="1" width="11" customWidth="1"/>
    <col min="2" max="2" width="4.140625" customWidth="1"/>
    <col min="3" max="3" width="5.7109375" customWidth="1"/>
    <col min="4" max="4" width="4" customWidth="1"/>
    <col min="5" max="5" width="5.28515625" customWidth="1"/>
    <col min="6" max="6" width="4" customWidth="1"/>
    <col min="7" max="7" width="4.28515625" customWidth="1"/>
    <col min="8" max="9" width="7.85546875" customWidth="1"/>
    <col min="10" max="10" width="8.140625" customWidth="1"/>
    <col min="11" max="11" width="8.7109375" customWidth="1"/>
    <col min="12" max="12" width="7.85546875" customWidth="1"/>
    <col min="13" max="13" width="7.5703125" customWidth="1"/>
    <col min="14" max="14" width="6.7109375" customWidth="1"/>
    <col min="15" max="15" width="7" customWidth="1"/>
    <col min="16" max="16" width="6.85546875" customWidth="1"/>
    <col min="17" max="17" width="7" customWidth="1"/>
    <col min="18" max="18" width="7.7109375" customWidth="1"/>
    <col min="19" max="19" width="7.5703125" customWidth="1"/>
    <col min="20" max="20" width="6" customWidth="1"/>
    <col min="21" max="21" width="8.5703125" customWidth="1"/>
    <col min="22" max="22" width="13.7109375" customWidth="1"/>
    <col min="23" max="23" width="11.5703125" customWidth="1"/>
    <col min="24" max="24" width="10.140625" bestFit="1" customWidth="1"/>
  </cols>
  <sheetData>
    <row r="1" spans="1:31" x14ac:dyDescent="0.2">
      <c r="A1" s="96" t="s">
        <v>186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2" spans="1:31" ht="21" x14ac:dyDescent="0.35">
      <c r="A2" s="32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67">
        <f>H6+J7+J8+J9+J10+J11+J12+J13+J14+J15</f>
        <v>3494000</v>
      </c>
      <c r="W2" s="66">
        <f>V2-1700000</f>
        <v>1794000</v>
      </c>
      <c r="X2" s="65"/>
      <c r="Y2" s="65"/>
      <c r="Z2" s="65"/>
      <c r="AA2" s="65"/>
      <c r="AB2" s="65"/>
      <c r="AC2" s="65"/>
      <c r="AD2" s="65"/>
      <c r="AE2" s="65"/>
    </row>
    <row r="3" spans="1:31" x14ac:dyDescent="0.2">
      <c r="A3" s="16" t="s">
        <v>0</v>
      </c>
      <c r="B3" s="14" t="s">
        <v>46</v>
      </c>
      <c r="C3" s="14" t="s">
        <v>26</v>
      </c>
      <c r="D3" s="14" t="s">
        <v>46</v>
      </c>
      <c r="E3" s="14" t="s">
        <v>28</v>
      </c>
      <c r="F3" s="14" t="s">
        <v>43</v>
      </c>
      <c r="G3" s="14" t="s">
        <v>43</v>
      </c>
      <c r="H3" s="14" t="s">
        <v>14</v>
      </c>
      <c r="I3" s="14" t="s">
        <v>138</v>
      </c>
      <c r="J3" s="14" t="s">
        <v>30</v>
      </c>
      <c r="K3" s="14" t="s">
        <v>135</v>
      </c>
      <c r="L3" s="14" t="s">
        <v>13</v>
      </c>
      <c r="M3" s="14" t="s">
        <v>13</v>
      </c>
      <c r="N3" s="14" t="s">
        <v>31</v>
      </c>
      <c r="O3" s="14" t="s">
        <v>33</v>
      </c>
      <c r="P3" s="14" t="s">
        <v>33</v>
      </c>
      <c r="Q3" s="14" t="s">
        <v>161</v>
      </c>
      <c r="R3" s="14" t="s">
        <v>162</v>
      </c>
      <c r="S3" s="34" t="s">
        <v>37</v>
      </c>
      <c r="T3" s="14" t="s">
        <v>39</v>
      </c>
      <c r="U3" s="14" t="s">
        <v>41</v>
      </c>
      <c r="V3" s="65"/>
      <c r="W3" s="65"/>
      <c r="X3" s="65"/>
      <c r="Y3" s="65"/>
      <c r="Z3" s="65"/>
      <c r="AA3" s="65"/>
      <c r="AB3" s="65"/>
      <c r="AC3" s="65"/>
      <c r="AD3" s="65"/>
      <c r="AE3" s="65"/>
    </row>
    <row r="4" spans="1:31" ht="13.5" thickBot="1" x14ac:dyDescent="0.25">
      <c r="A4" s="17"/>
      <c r="B4" s="18" t="s">
        <v>48</v>
      </c>
      <c r="C4" s="18" t="s">
        <v>27</v>
      </c>
      <c r="D4" s="18" t="s">
        <v>47</v>
      </c>
      <c r="E4" s="18" t="s">
        <v>29</v>
      </c>
      <c r="F4" s="18" t="s">
        <v>44</v>
      </c>
      <c r="G4" s="18" t="s">
        <v>45</v>
      </c>
      <c r="H4" s="21" t="s">
        <v>137</v>
      </c>
      <c r="I4" s="18" t="s">
        <v>139</v>
      </c>
      <c r="J4" s="18" t="s">
        <v>146</v>
      </c>
      <c r="K4" s="18" t="s">
        <v>136</v>
      </c>
      <c r="L4" s="18" t="s">
        <v>134</v>
      </c>
      <c r="M4" s="18" t="s">
        <v>160</v>
      </c>
      <c r="N4" s="18" t="s">
        <v>32</v>
      </c>
      <c r="O4" s="18" t="s">
        <v>34</v>
      </c>
      <c r="P4" s="18" t="s">
        <v>133</v>
      </c>
      <c r="Q4" s="42" t="s">
        <v>168</v>
      </c>
      <c r="R4" s="18" t="s">
        <v>173</v>
      </c>
      <c r="S4" s="35" t="s">
        <v>38</v>
      </c>
      <c r="T4" s="18" t="s">
        <v>40</v>
      </c>
      <c r="U4" s="18" t="s">
        <v>42</v>
      </c>
      <c r="V4" s="65"/>
      <c r="W4" s="66"/>
      <c r="X4" s="66"/>
      <c r="Y4" s="65"/>
      <c r="Z4" s="65"/>
      <c r="AA4" s="65"/>
      <c r="AB4" s="65"/>
      <c r="AC4" s="65"/>
      <c r="AD4" s="65"/>
      <c r="AE4" s="65"/>
    </row>
    <row r="5" spans="1:31" ht="13.5" thickBot="1" x14ac:dyDescent="0.25">
      <c r="A5" s="20" t="s">
        <v>12</v>
      </c>
      <c r="B5" s="64"/>
      <c r="C5" s="64"/>
      <c r="D5" s="64"/>
      <c r="E5" s="64"/>
      <c r="F5" s="64"/>
      <c r="G5" s="64"/>
      <c r="H5" s="71">
        <f>H6+H7+H8+H9+H10+H11+H12+H13+H14+H15+H16+H17+H18</f>
        <v>41625600</v>
      </c>
      <c r="I5" s="77">
        <f>I6+I7+I8+I9+I10+I11+I12+I13+I14+I15+I16+I17+I18</f>
        <v>11616000</v>
      </c>
      <c r="J5" s="71">
        <f>J6+J7+J8+J9+J10+J11+J12+J13+J14+J15+J16+J17+J18</f>
        <v>1565000</v>
      </c>
      <c r="K5" s="71"/>
      <c r="L5" s="71">
        <f>L6+L7+L8+L9+L10+L11+L12+L13+L14+L15+L16+L17+L18</f>
        <v>150000</v>
      </c>
      <c r="M5" s="71">
        <f t="shared" ref="M5:Q5" si="0">M6+M7+M8+M9+M10+M11+M12+M13+M14+M15+M16+M17+M18</f>
        <v>0</v>
      </c>
      <c r="N5" s="71"/>
      <c r="O5" s="71">
        <f t="shared" si="0"/>
        <v>97230</v>
      </c>
      <c r="P5" s="71">
        <f t="shared" si="0"/>
        <v>3500000</v>
      </c>
      <c r="Q5" s="71">
        <f t="shared" si="0"/>
        <v>200000</v>
      </c>
      <c r="R5" s="71"/>
      <c r="S5" s="72"/>
      <c r="T5" s="72"/>
      <c r="U5" s="81">
        <f>SUM(B5:T5)</f>
        <v>58753830</v>
      </c>
      <c r="V5" s="80"/>
      <c r="W5" s="65"/>
      <c r="X5" s="65"/>
      <c r="Y5" s="65"/>
      <c r="Z5" s="65"/>
      <c r="AA5" s="65"/>
      <c r="AB5" s="65"/>
      <c r="AC5" s="65"/>
      <c r="AD5" s="65"/>
      <c r="AE5" s="65"/>
    </row>
    <row r="6" spans="1:31" x14ac:dyDescent="0.2">
      <c r="A6" s="2" t="s">
        <v>1</v>
      </c>
      <c r="B6" s="19"/>
      <c r="C6" s="19"/>
      <c r="D6" s="19"/>
      <c r="E6" s="19"/>
      <c r="F6" s="19"/>
      <c r="G6" s="19"/>
      <c r="H6" s="19">
        <f>H39</f>
        <v>2464000</v>
      </c>
      <c r="I6" s="19">
        <f>I39</f>
        <v>1920000</v>
      </c>
      <c r="J6" s="19">
        <f>J39</f>
        <v>120000</v>
      </c>
      <c r="K6" s="19"/>
      <c r="L6" s="19"/>
      <c r="M6" s="19"/>
      <c r="N6" s="19"/>
      <c r="O6" s="19"/>
      <c r="P6" s="19"/>
      <c r="Q6" s="36"/>
      <c r="R6" s="19"/>
      <c r="S6" s="19"/>
      <c r="T6" s="19"/>
      <c r="U6" s="93">
        <f t="shared" ref="U6:U17" si="1">H6+I6+J6+N6</f>
        <v>4504000</v>
      </c>
      <c r="V6" s="65"/>
      <c r="W6" s="74"/>
      <c r="X6" s="65"/>
      <c r="Y6" s="65"/>
      <c r="Z6" s="65"/>
      <c r="AA6" s="65"/>
      <c r="AB6" s="65"/>
      <c r="AC6" s="65"/>
      <c r="AD6" s="65"/>
      <c r="AE6" s="65"/>
    </row>
    <row r="7" spans="1:31" x14ac:dyDescent="0.2">
      <c r="A7" s="3" t="s">
        <v>2</v>
      </c>
      <c r="B7" s="4"/>
      <c r="C7" s="4"/>
      <c r="D7" s="4"/>
      <c r="E7" s="4"/>
      <c r="F7" s="4"/>
      <c r="G7" s="4"/>
      <c r="H7" s="4">
        <f>H76</f>
        <v>3511200</v>
      </c>
      <c r="I7" s="4">
        <f>I76</f>
        <v>1560000</v>
      </c>
      <c r="J7" s="19">
        <f>J76</f>
        <v>120000</v>
      </c>
      <c r="K7" s="4"/>
      <c r="L7" s="4"/>
      <c r="M7" s="4"/>
      <c r="N7" s="4"/>
      <c r="O7" s="4"/>
      <c r="P7" s="4"/>
      <c r="Q7" s="36"/>
      <c r="R7" s="4"/>
      <c r="S7" s="4"/>
      <c r="T7" s="4"/>
      <c r="U7" s="93">
        <f t="shared" si="1"/>
        <v>5191200</v>
      </c>
      <c r="V7" s="65"/>
      <c r="W7" s="74"/>
      <c r="X7" s="65"/>
      <c r="Y7" s="65"/>
      <c r="Z7" s="65"/>
      <c r="AA7" s="65"/>
      <c r="AB7" s="65"/>
      <c r="AC7" s="65"/>
      <c r="AD7" s="65"/>
      <c r="AE7" s="65"/>
    </row>
    <row r="8" spans="1:31" x14ac:dyDescent="0.2">
      <c r="A8" s="3" t="s">
        <v>3</v>
      </c>
      <c r="B8" s="4"/>
      <c r="C8" s="4"/>
      <c r="D8" s="4"/>
      <c r="E8" s="4"/>
      <c r="F8" s="4"/>
      <c r="G8" s="4"/>
      <c r="H8" s="4">
        <f>H113</f>
        <v>3180800</v>
      </c>
      <c r="I8" s="4">
        <f>I113</f>
        <v>1224000</v>
      </c>
      <c r="J8" s="19">
        <f>J113</f>
        <v>110000</v>
      </c>
      <c r="K8" s="4"/>
      <c r="L8" s="4"/>
      <c r="M8" s="4"/>
      <c r="N8" s="4"/>
      <c r="O8" s="4"/>
      <c r="P8" s="4"/>
      <c r="Q8" s="36"/>
      <c r="R8" s="4"/>
      <c r="S8" s="4"/>
      <c r="T8" s="9"/>
      <c r="U8" s="93">
        <f t="shared" si="1"/>
        <v>4514800</v>
      </c>
      <c r="V8" s="65"/>
      <c r="W8" s="74"/>
      <c r="X8" s="65"/>
      <c r="Y8" s="65"/>
      <c r="Z8" s="65"/>
      <c r="AA8" s="65"/>
      <c r="AB8" s="65"/>
      <c r="AC8" s="65"/>
      <c r="AD8" s="65"/>
      <c r="AE8" s="65"/>
    </row>
    <row r="9" spans="1:31" x14ac:dyDescent="0.2">
      <c r="A9" s="3" t="s">
        <v>4</v>
      </c>
      <c r="B9" s="4"/>
      <c r="C9" s="4"/>
      <c r="D9" s="4"/>
      <c r="E9" s="4"/>
      <c r="F9" s="4"/>
      <c r="G9" s="4"/>
      <c r="H9" s="4">
        <f>H149</f>
        <v>6227200</v>
      </c>
      <c r="I9" s="4">
        <f>I149</f>
        <v>744000</v>
      </c>
      <c r="J9" s="19">
        <f>J149</f>
        <v>110000</v>
      </c>
      <c r="K9" s="4"/>
      <c r="L9" s="4"/>
      <c r="M9" s="4"/>
      <c r="N9" s="4"/>
      <c r="O9" s="4"/>
      <c r="P9" s="4"/>
      <c r="Q9" s="36"/>
      <c r="R9" s="4"/>
      <c r="S9" s="4"/>
      <c r="T9" s="4"/>
      <c r="U9" s="93">
        <f t="shared" si="1"/>
        <v>7081200</v>
      </c>
      <c r="V9" s="65"/>
      <c r="W9" s="74"/>
      <c r="X9" s="65"/>
      <c r="Y9" s="65"/>
      <c r="Z9" s="65"/>
      <c r="AA9" s="65"/>
      <c r="AB9" s="65"/>
      <c r="AC9" s="65"/>
      <c r="AD9" s="65"/>
      <c r="AE9" s="65"/>
    </row>
    <row r="10" spans="1:31" x14ac:dyDescent="0.2">
      <c r="A10" s="3" t="s">
        <v>5</v>
      </c>
      <c r="B10" s="4"/>
      <c r="C10" s="4"/>
      <c r="D10" s="4"/>
      <c r="E10" s="4"/>
      <c r="F10" s="4"/>
      <c r="G10" s="4"/>
      <c r="H10" s="4">
        <f>H186</f>
        <v>6641600</v>
      </c>
      <c r="I10" s="4">
        <f>I186</f>
        <v>1080000</v>
      </c>
      <c r="J10" s="19">
        <f>J186</f>
        <v>150000</v>
      </c>
      <c r="K10" s="4"/>
      <c r="L10" s="4"/>
      <c r="M10" s="4"/>
      <c r="N10" s="4"/>
      <c r="O10" s="4"/>
      <c r="P10" s="4"/>
      <c r="Q10" s="36"/>
      <c r="R10" s="4"/>
      <c r="S10" s="4"/>
      <c r="T10" s="4"/>
      <c r="U10" s="93">
        <f t="shared" si="1"/>
        <v>7871600</v>
      </c>
      <c r="V10" s="65"/>
      <c r="W10" s="74"/>
      <c r="X10" s="65"/>
      <c r="Y10" s="65"/>
      <c r="Z10" s="65"/>
      <c r="AA10" s="65"/>
      <c r="AB10" s="65"/>
      <c r="AC10" s="65"/>
      <c r="AD10" s="65"/>
      <c r="AE10" s="65"/>
    </row>
    <row r="11" spans="1:31" x14ac:dyDescent="0.2">
      <c r="A11" s="3" t="s">
        <v>6</v>
      </c>
      <c r="B11" s="4"/>
      <c r="C11" s="4"/>
      <c r="D11" s="4"/>
      <c r="E11" s="4"/>
      <c r="F11" s="4"/>
      <c r="G11" s="4"/>
      <c r="H11" s="4">
        <f>H223</f>
        <v>4233600</v>
      </c>
      <c r="I11" s="4">
        <f>I223</f>
        <v>888000</v>
      </c>
      <c r="J11" s="19">
        <f>J223</f>
        <v>110000</v>
      </c>
      <c r="K11" s="4"/>
      <c r="L11" s="4"/>
      <c r="M11" s="4"/>
      <c r="N11" s="4"/>
      <c r="O11" s="4"/>
      <c r="P11" s="4"/>
      <c r="Q11" s="36"/>
      <c r="R11" s="4"/>
      <c r="S11" s="4"/>
      <c r="T11" s="4"/>
      <c r="U11" s="93">
        <f t="shared" si="1"/>
        <v>5231600</v>
      </c>
      <c r="V11" s="65"/>
      <c r="W11" s="74"/>
      <c r="X11" s="65"/>
      <c r="Y11" s="65"/>
      <c r="Z11" s="65"/>
      <c r="AA11" s="65"/>
      <c r="AB11" s="65"/>
      <c r="AC11" s="65"/>
      <c r="AD11" s="65"/>
      <c r="AE11" s="65"/>
    </row>
    <row r="12" spans="1:31" x14ac:dyDescent="0.2">
      <c r="A12" s="3" t="s">
        <v>7</v>
      </c>
      <c r="B12" s="4"/>
      <c r="C12" s="4"/>
      <c r="D12" s="4"/>
      <c r="E12" s="4"/>
      <c r="F12" s="4"/>
      <c r="G12" s="4"/>
      <c r="H12" s="4">
        <f>H259</f>
        <v>3903200</v>
      </c>
      <c r="I12" s="4">
        <f>I259</f>
        <v>744000</v>
      </c>
      <c r="J12" s="19">
        <f>J259</f>
        <v>120000</v>
      </c>
      <c r="K12" s="4"/>
      <c r="L12" s="4"/>
      <c r="M12" s="4"/>
      <c r="N12" s="4"/>
      <c r="O12" s="4"/>
      <c r="P12" s="4"/>
      <c r="Q12" s="36"/>
      <c r="R12" s="4"/>
      <c r="S12" s="4"/>
      <c r="T12" s="4"/>
      <c r="U12" s="93">
        <f t="shared" si="1"/>
        <v>4767200</v>
      </c>
      <c r="V12" s="65"/>
      <c r="W12" s="74"/>
      <c r="X12" s="65"/>
      <c r="Y12" s="65"/>
      <c r="Z12" s="65"/>
      <c r="AA12" s="65"/>
      <c r="AB12" s="65"/>
      <c r="AC12" s="65"/>
      <c r="AD12" s="65"/>
      <c r="AE12" s="65"/>
    </row>
    <row r="13" spans="1:31" x14ac:dyDescent="0.2">
      <c r="A13" s="3" t="s">
        <v>8</v>
      </c>
      <c r="B13" s="4"/>
      <c r="C13" s="4"/>
      <c r="D13" s="4"/>
      <c r="E13" s="4"/>
      <c r="F13" s="4"/>
      <c r="G13" s="4"/>
      <c r="H13" s="4">
        <f>H297</f>
        <v>2856000</v>
      </c>
      <c r="I13" s="4">
        <f>I297</f>
        <v>1152000</v>
      </c>
      <c r="J13" s="19">
        <f>J297</f>
        <v>110000</v>
      </c>
      <c r="K13" s="4"/>
      <c r="L13" s="4"/>
      <c r="M13" s="4"/>
      <c r="N13" s="4"/>
      <c r="O13" s="4"/>
      <c r="P13" s="4"/>
      <c r="Q13" s="36"/>
      <c r="R13" s="4"/>
      <c r="S13" s="4"/>
      <c r="T13" s="4"/>
      <c r="U13" s="93">
        <f t="shared" si="1"/>
        <v>4118000</v>
      </c>
      <c r="V13" s="65"/>
      <c r="W13" s="74"/>
      <c r="X13" s="65"/>
      <c r="Y13" s="65"/>
      <c r="Z13" s="65"/>
      <c r="AA13" s="65"/>
      <c r="AB13" s="65"/>
      <c r="AC13" s="65"/>
      <c r="AD13" s="65"/>
      <c r="AE13" s="65"/>
    </row>
    <row r="14" spans="1:31" x14ac:dyDescent="0.2">
      <c r="A14" s="3" t="s">
        <v>9</v>
      </c>
      <c r="B14" s="4"/>
      <c r="C14" s="4"/>
      <c r="D14" s="4"/>
      <c r="E14" s="4"/>
      <c r="F14" s="4"/>
      <c r="G14" s="4"/>
      <c r="H14" s="4">
        <f>H335</f>
        <v>3281600</v>
      </c>
      <c r="I14" s="4">
        <f>I335</f>
        <v>1080000</v>
      </c>
      <c r="J14" s="19">
        <f>J335</f>
        <v>100000</v>
      </c>
      <c r="K14" s="4"/>
      <c r="L14" s="4"/>
      <c r="M14" s="4"/>
      <c r="N14" s="4"/>
      <c r="O14" s="4"/>
      <c r="P14" s="4"/>
      <c r="Q14" s="36"/>
      <c r="R14" s="4"/>
      <c r="S14" s="4"/>
      <c r="T14" s="4"/>
      <c r="U14" s="93">
        <f t="shared" si="1"/>
        <v>4461600</v>
      </c>
      <c r="V14" s="65"/>
      <c r="W14" s="74"/>
      <c r="X14" s="65"/>
      <c r="Y14" s="65"/>
      <c r="Z14" s="65"/>
      <c r="AA14" s="65"/>
      <c r="AB14" s="65"/>
      <c r="AC14" s="65"/>
      <c r="AD14" s="65"/>
      <c r="AE14" s="65"/>
    </row>
    <row r="15" spans="1:31" x14ac:dyDescent="0.2">
      <c r="A15" s="3" t="s">
        <v>10</v>
      </c>
      <c r="B15" s="4"/>
      <c r="C15" s="4"/>
      <c r="D15" s="4"/>
      <c r="E15" s="4"/>
      <c r="F15" s="4"/>
      <c r="G15" s="4"/>
      <c r="H15" s="4">
        <f>H371</f>
        <v>3304000</v>
      </c>
      <c r="I15" s="4">
        <f>I371</f>
        <v>1224000</v>
      </c>
      <c r="J15" s="4">
        <f>J371</f>
        <v>100000</v>
      </c>
      <c r="K15" s="4"/>
      <c r="L15" s="4"/>
      <c r="M15" s="4"/>
      <c r="N15" s="4"/>
      <c r="O15" s="4"/>
      <c r="P15" s="4"/>
      <c r="Q15" s="37"/>
      <c r="R15" s="4"/>
      <c r="S15" s="4"/>
      <c r="T15" s="4"/>
      <c r="U15" s="93">
        <f t="shared" si="1"/>
        <v>4628000</v>
      </c>
      <c r="V15" s="65"/>
      <c r="W15" s="74"/>
      <c r="X15" s="65"/>
      <c r="Y15" s="65"/>
      <c r="Z15" s="65"/>
      <c r="AA15" s="65"/>
      <c r="AB15" s="65"/>
      <c r="AC15" s="65"/>
      <c r="AD15" s="65"/>
      <c r="AE15" s="65"/>
    </row>
    <row r="16" spans="1:31" x14ac:dyDescent="0.2">
      <c r="A16" s="3" t="s">
        <v>132</v>
      </c>
      <c r="B16" s="4"/>
      <c r="C16" s="4"/>
      <c r="D16" s="4"/>
      <c r="E16" s="4"/>
      <c r="F16" s="4"/>
      <c r="G16" s="4"/>
      <c r="H16" s="4">
        <f>H408</f>
        <v>22400</v>
      </c>
      <c r="I16" s="4">
        <f>I408</f>
        <v>0</v>
      </c>
      <c r="J16" s="4">
        <f>J408</f>
        <v>0</v>
      </c>
      <c r="K16" s="4"/>
      <c r="L16" s="4"/>
      <c r="M16" s="4"/>
      <c r="N16" s="4"/>
      <c r="O16" s="4"/>
      <c r="P16" s="4"/>
      <c r="Q16" s="37"/>
      <c r="R16" s="4"/>
      <c r="S16" s="4"/>
      <c r="T16" s="4"/>
      <c r="U16" s="83">
        <f t="shared" si="1"/>
        <v>22400</v>
      </c>
      <c r="V16" s="65"/>
      <c r="W16" s="75"/>
      <c r="X16" s="65"/>
      <c r="Y16" s="65"/>
      <c r="Z16" s="65"/>
      <c r="AA16" s="65"/>
      <c r="AB16" s="65"/>
      <c r="AC16" s="65"/>
      <c r="AD16" s="65"/>
      <c r="AE16" s="65"/>
    </row>
    <row r="17" spans="1:31" x14ac:dyDescent="0.2">
      <c r="A17" s="3" t="s">
        <v>11</v>
      </c>
      <c r="B17" s="4"/>
      <c r="C17" s="4"/>
      <c r="D17" s="4"/>
      <c r="E17" s="4"/>
      <c r="F17" s="4"/>
      <c r="G17" s="4"/>
      <c r="H17" s="4">
        <f>H444</f>
        <v>0</v>
      </c>
      <c r="I17" s="4">
        <f>I444</f>
        <v>0</v>
      </c>
      <c r="J17" s="4">
        <f>J444</f>
        <v>220000</v>
      </c>
      <c r="K17" s="4"/>
      <c r="L17" s="4"/>
      <c r="M17" s="4"/>
      <c r="N17" s="4"/>
      <c r="O17" s="4"/>
      <c r="P17" s="4"/>
      <c r="Q17" s="37"/>
      <c r="R17" s="4"/>
      <c r="S17" s="4"/>
      <c r="T17" s="4"/>
      <c r="U17" s="83">
        <f t="shared" si="1"/>
        <v>220000</v>
      </c>
      <c r="V17" s="65"/>
      <c r="W17" s="75"/>
      <c r="X17" s="65"/>
      <c r="Y17" s="65"/>
      <c r="Z17" s="65"/>
      <c r="AA17" s="65"/>
      <c r="AB17" s="65"/>
      <c r="AC17" s="65"/>
      <c r="AD17" s="65"/>
      <c r="AE17" s="65"/>
    </row>
    <row r="18" spans="1:31" s="63" customFormat="1" x14ac:dyDescent="0.2">
      <c r="A18" s="61" t="s">
        <v>143</v>
      </c>
      <c r="B18" s="41"/>
      <c r="C18" s="41"/>
      <c r="D18" s="41"/>
      <c r="E18" s="41"/>
      <c r="F18" s="41"/>
      <c r="G18" s="41"/>
      <c r="H18" s="41">
        <f>H482</f>
        <v>2000000</v>
      </c>
      <c r="I18" s="41">
        <f>I482</f>
        <v>0</v>
      </c>
      <c r="J18" s="41">
        <f>J482</f>
        <v>195000</v>
      </c>
      <c r="K18" s="41"/>
      <c r="L18" s="41">
        <f>L482</f>
        <v>150000</v>
      </c>
      <c r="M18" s="41"/>
      <c r="N18" s="62"/>
      <c r="O18" s="41">
        <v>97230</v>
      </c>
      <c r="P18" s="41">
        <f>P482</f>
        <v>3500000</v>
      </c>
      <c r="Q18" s="41">
        <f>Q482</f>
        <v>200000</v>
      </c>
      <c r="R18" s="41"/>
      <c r="S18" s="62"/>
      <c r="T18" s="62"/>
      <c r="U18" s="83">
        <f>H18+I18+J18+K18+L18+M18+N18+O18+P18+Q18</f>
        <v>6142230</v>
      </c>
      <c r="V18" s="69"/>
      <c r="W18" s="69"/>
      <c r="X18" s="69"/>
      <c r="Y18" s="69"/>
      <c r="Z18" s="69"/>
      <c r="AA18" s="69"/>
      <c r="AB18" s="69"/>
      <c r="AC18" s="69"/>
      <c r="AD18" s="69"/>
      <c r="AE18" s="69"/>
    </row>
    <row r="19" spans="1:31" ht="18.75" x14ac:dyDescent="0.3">
      <c r="A19" s="33" t="s">
        <v>151</v>
      </c>
      <c r="B19" s="33"/>
      <c r="C19" s="33"/>
      <c r="D19" s="33"/>
      <c r="E19" s="33"/>
      <c r="F19" s="33"/>
      <c r="G19" s="33"/>
      <c r="H19" s="44"/>
      <c r="I19" s="70"/>
      <c r="J19" s="33"/>
      <c r="K19" s="33"/>
      <c r="L19" s="33"/>
      <c r="M19" s="33"/>
      <c r="N19" s="44"/>
      <c r="O19" s="33"/>
      <c r="P19" s="33"/>
      <c r="Q19" s="33"/>
      <c r="R19" s="33"/>
      <c r="S19" s="33"/>
      <c r="T19" s="33"/>
      <c r="U19" s="43"/>
      <c r="V19" s="65"/>
      <c r="W19" s="65"/>
      <c r="X19" s="65"/>
      <c r="Y19" s="65"/>
      <c r="Z19" s="65"/>
      <c r="AA19" s="65"/>
      <c r="AB19" s="65"/>
      <c r="AC19" s="65"/>
      <c r="AD19" s="65"/>
      <c r="AE19" s="65"/>
    </row>
    <row r="20" spans="1:31" ht="14.25" x14ac:dyDescent="0.25">
      <c r="A20" s="50" t="s">
        <v>174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65"/>
      <c r="W20" s="65"/>
      <c r="X20" s="65"/>
      <c r="Y20" s="65"/>
      <c r="Z20" s="65"/>
      <c r="AA20" s="65"/>
      <c r="AB20" s="65"/>
      <c r="AC20" s="65"/>
      <c r="AD20" s="65"/>
      <c r="AE20" s="65"/>
    </row>
    <row r="21" spans="1:31" ht="19.5" customHeight="1" x14ac:dyDescent="0.25">
      <c r="A21" s="50" t="s">
        <v>177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65"/>
      <c r="W21" s="65"/>
      <c r="X21" s="65"/>
      <c r="Y21" s="65"/>
      <c r="Z21" s="65"/>
      <c r="AA21" s="65"/>
      <c r="AB21" s="65"/>
      <c r="AC21" s="65"/>
      <c r="AD21" s="65"/>
      <c r="AE21" s="65"/>
    </row>
    <row r="22" spans="1:31" ht="14.25" x14ac:dyDescent="0.25">
      <c r="A22" s="50" t="s">
        <v>175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65"/>
      <c r="W22" s="66"/>
      <c r="X22" s="65"/>
      <c r="Y22" s="65"/>
      <c r="Z22" s="65"/>
      <c r="AA22" s="65"/>
      <c r="AB22" s="65"/>
      <c r="AC22" s="65"/>
      <c r="AD22" s="65"/>
      <c r="AE22" s="65"/>
    </row>
    <row r="23" spans="1:31" ht="14.25" x14ac:dyDescent="0.25">
      <c r="A23" s="50" t="s">
        <v>178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65"/>
      <c r="W23" s="66"/>
      <c r="X23" s="65"/>
      <c r="Y23" s="65"/>
      <c r="Z23" s="65"/>
      <c r="AA23" s="65"/>
      <c r="AB23" s="65"/>
      <c r="AC23" s="65"/>
      <c r="AD23" s="65"/>
      <c r="AE23" s="65"/>
    </row>
    <row r="24" spans="1:31" ht="14.25" x14ac:dyDescent="0.25">
      <c r="A24" s="50" t="s">
        <v>180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65"/>
      <c r="W24" s="65"/>
      <c r="X24" s="65"/>
      <c r="Y24" s="65"/>
      <c r="Z24" s="65"/>
      <c r="AA24" s="65"/>
      <c r="AB24" s="65"/>
      <c r="AC24" s="65"/>
      <c r="AD24" s="65"/>
      <c r="AE24" s="65"/>
    </row>
    <row r="25" spans="1:31" ht="14.25" x14ac:dyDescent="0.25">
      <c r="A25" s="50" t="s">
        <v>179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65"/>
      <c r="W25" s="65"/>
      <c r="X25" s="65"/>
      <c r="Y25" s="65"/>
      <c r="Z25" s="65"/>
      <c r="AA25" s="65"/>
      <c r="AB25" s="65"/>
      <c r="AC25" s="65"/>
      <c r="AD25" s="65"/>
      <c r="AE25" s="65"/>
    </row>
    <row r="26" spans="1:31" ht="14.25" x14ac:dyDescent="0.25">
      <c r="A26" s="50" t="s">
        <v>176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65"/>
      <c r="W26" s="65"/>
      <c r="X26" s="65"/>
      <c r="Y26" s="65"/>
      <c r="Z26" s="65"/>
      <c r="AA26" s="65"/>
      <c r="AB26" s="65"/>
      <c r="AC26" s="65"/>
      <c r="AD26" s="65"/>
      <c r="AE26" s="65"/>
    </row>
    <row r="27" spans="1:31" ht="14.25" x14ac:dyDescent="0.25">
      <c r="A27" s="50" t="s">
        <v>182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65"/>
      <c r="W27" s="65"/>
      <c r="X27" s="65"/>
      <c r="Y27" s="65"/>
      <c r="Z27" s="65"/>
      <c r="AA27" s="65"/>
      <c r="AB27" s="65"/>
      <c r="AC27" s="65"/>
      <c r="AD27" s="65"/>
      <c r="AE27" s="65"/>
    </row>
    <row r="28" spans="1:31" ht="14.25" x14ac:dyDescent="0.25">
      <c r="A28" s="50" t="s">
        <v>181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65"/>
      <c r="W28" s="65"/>
      <c r="X28" s="65"/>
      <c r="Y28" s="65"/>
      <c r="Z28" s="65"/>
      <c r="AA28" s="65"/>
      <c r="AB28" s="65"/>
      <c r="AC28" s="65"/>
      <c r="AD28" s="65"/>
      <c r="AE28" s="65"/>
    </row>
    <row r="29" spans="1:31" ht="14.25" x14ac:dyDescent="0.25">
      <c r="A29" s="50" t="s">
        <v>166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65"/>
      <c r="W29" s="65"/>
      <c r="X29" s="65"/>
      <c r="Y29" s="65"/>
      <c r="Z29" s="65"/>
      <c r="AA29" s="65"/>
      <c r="AB29" s="65"/>
      <c r="AC29" s="65"/>
      <c r="AD29" s="65"/>
      <c r="AE29" s="65"/>
    </row>
    <row r="30" spans="1:31" ht="14.25" x14ac:dyDescent="0.25">
      <c r="A30" s="50" t="s">
        <v>167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65"/>
      <c r="W30" s="65"/>
      <c r="X30" s="65"/>
      <c r="Y30" s="65"/>
      <c r="Z30" s="65"/>
      <c r="AA30" s="65"/>
      <c r="AB30" s="65"/>
      <c r="AC30" s="65"/>
      <c r="AD30" s="65"/>
      <c r="AE30" s="65"/>
    </row>
    <row r="31" spans="1:31" ht="17.25" x14ac:dyDescent="0.2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68"/>
      <c r="W31" s="65"/>
      <c r="X31" s="65"/>
      <c r="Y31" s="65"/>
      <c r="Z31" s="65"/>
      <c r="AA31" s="65"/>
      <c r="AB31" s="65"/>
      <c r="AC31" s="65"/>
      <c r="AD31" s="65"/>
      <c r="AE31" s="65"/>
    </row>
    <row r="32" spans="1:31" ht="18" x14ac:dyDescent="0.3">
      <c r="A32" s="94" t="s">
        <v>184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68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7.25" x14ac:dyDescent="0.2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68"/>
      <c r="W33" s="65"/>
      <c r="X33" s="65"/>
      <c r="Y33" s="65"/>
      <c r="Z33" s="65"/>
      <c r="AA33" s="65"/>
      <c r="AB33" s="65"/>
      <c r="AC33" s="65"/>
      <c r="AD33" s="65"/>
      <c r="AE33" s="65"/>
    </row>
    <row r="34" spans="1:31" ht="17.25" x14ac:dyDescent="0.2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68"/>
      <c r="W34" s="65"/>
      <c r="X34" s="65"/>
      <c r="Y34" s="65"/>
      <c r="Z34" s="65"/>
      <c r="AA34" s="65"/>
      <c r="AB34" s="65"/>
      <c r="AC34" s="65"/>
      <c r="AD34" s="65"/>
      <c r="AE34" s="65"/>
    </row>
    <row r="35" spans="1:31" ht="15" customHeight="1" x14ac:dyDescent="0.2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0"/>
      <c r="T35" s="50"/>
      <c r="U35" s="50"/>
      <c r="V35" s="65"/>
      <c r="W35" s="65"/>
      <c r="X35" s="65"/>
      <c r="Y35" s="65"/>
      <c r="Z35" s="65"/>
      <c r="AA35" s="65"/>
      <c r="AB35" s="65"/>
      <c r="AC35" s="65"/>
      <c r="AD35" s="65"/>
      <c r="AE35" s="65"/>
    </row>
    <row r="36" spans="1:31" x14ac:dyDescent="0.2">
      <c r="A36" t="s">
        <v>1</v>
      </c>
      <c r="V36" s="65"/>
      <c r="W36" s="65"/>
      <c r="X36" s="65"/>
      <c r="Y36" s="65"/>
      <c r="Z36" s="65"/>
      <c r="AA36" s="65"/>
      <c r="AB36" s="65"/>
      <c r="AC36" s="65"/>
      <c r="AD36" s="65"/>
      <c r="AE36" s="65"/>
    </row>
    <row r="37" spans="1:31" x14ac:dyDescent="0.2">
      <c r="A37" s="14" t="s">
        <v>0</v>
      </c>
      <c r="B37" s="14" t="s">
        <v>46</v>
      </c>
      <c r="C37" s="14" t="s">
        <v>26</v>
      </c>
      <c r="D37" s="14" t="s">
        <v>46</v>
      </c>
      <c r="E37" s="14" t="s">
        <v>28</v>
      </c>
      <c r="F37" s="14" t="s">
        <v>43</v>
      </c>
      <c r="G37" s="14" t="s">
        <v>43</v>
      </c>
      <c r="H37" s="14" t="s">
        <v>14</v>
      </c>
      <c r="I37" s="14" t="s">
        <v>138</v>
      </c>
      <c r="J37" s="14" t="s">
        <v>30</v>
      </c>
      <c r="K37" s="14" t="s">
        <v>135</v>
      </c>
      <c r="L37" s="14" t="s">
        <v>13</v>
      </c>
      <c r="M37" s="14" t="s">
        <v>13</v>
      </c>
      <c r="N37" s="14" t="s">
        <v>31</v>
      </c>
      <c r="O37" s="14" t="s">
        <v>33</v>
      </c>
      <c r="P37" s="14" t="s">
        <v>33</v>
      </c>
      <c r="Q37" s="14" t="s">
        <v>145</v>
      </c>
      <c r="R37" s="14" t="s">
        <v>35</v>
      </c>
      <c r="S37" s="34" t="s">
        <v>37</v>
      </c>
      <c r="T37" s="14" t="s">
        <v>39</v>
      </c>
      <c r="U37" s="14" t="s">
        <v>41</v>
      </c>
      <c r="V37" s="65"/>
      <c r="W37" s="65"/>
      <c r="X37" s="65"/>
      <c r="Y37" s="65"/>
      <c r="Z37" s="65"/>
      <c r="AA37" s="65"/>
      <c r="AB37" s="65"/>
      <c r="AC37" s="65"/>
      <c r="AD37" s="65"/>
      <c r="AE37" s="65"/>
    </row>
    <row r="38" spans="1:31" ht="13.5" thickBot="1" x14ac:dyDescent="0.25">
      <c r="A38" s="18"/>
      <c r="B38" s="18" t="s">
        <v>48</v>
      </c>
      <c r="C38" s="18" t="s">
        <v>27</v>
      </c>
      <c r="D38" s="18" t="s">
        <v>47</v>
      </c>
      <c r="E38" s="18" t="s">
        <v>29</v>
      </c>
      <c r="F38" s="18" t="s">
        <v>44</v>
      </c>
      <c r="G38" s="18" t="s">
        <v>45</v>
      </c>
      <c r="H38" s="21" t="s">
        <v>137</v>
      </c>
      <c r="I38" s="18" t="s">
        <v>139</v>
      </c>
      <c r="J38" s="18" t="s">
        <v>146</v>
      </c>
      <c r="K38" s="18" t="s">
        <v>136</v>
      </c>
      <c r="L38" s="18" t="s">
        <v>134</v>
      </c>
      <c r="M38" s="18" t="s">
        <v>160</v>
      </c>
      <c r="N38" s="18" t="s">
        <v>32</v>
      </c>
      <c r="O38" s="18" t="s">
        <v>34</v>
      </c>
      <c r="P38" s="18" t="s">
        <v>133</v>
      </c>
      <c r="Q38" s="42" t="s">
        <v>144</v>
      </c>
      <c r="R38" s="18" t="s">
        <v>36</v>
      </c>
      <c r="S38" s="35" t="s">
        <v>38</v>
      </c>
      <c r="T38" s="18" t="s">
        <v>40</v>
      </c>
      <c r="U38" s="18" t="s">
        <v>42</v>
      </c>
      <c r="V38" s="65"/>
      <c r="W38" s="65"/>
      <c r="X38" s="65"/>
      <c r="Y38" s="65"/>
      <c r="Z38" s="65"/>
      <c r="AA38" s="65"/>
      <c r="AB38" s="65"/>
      <c r="AC38" s="65"/>
      <c r="AD38" s="65"/>
      <c r="AE38" s="65"/>
    </row>
    <row r="39" spans="1:31" ht="13.5" thickBot="1" x14ac:dyDescent="0.25">
      <c r="A39" s="24" t="s">
        <v>16</v>
      </c>
      <c r="B39" s="25"/>
      <c r="C39" s="25"/>
      <c r="D39" s="25"/>
      <c r="E39" s="25"/>
      <c r="F39" s="25"/>
      <c r="G39" s="25"/>
      <c r="H39" s="26">
        <f>H41+H42+H43+H44+H45+H46+H47+H48+H49</f>
        <v>2464000</v>
      </c>
      <c r="I39" s="26">
        <f>I41+I42+I43+I44+I45+I46+I47+I48+I49</f>
        <v>1920000</v>
      </c>
      <c r="J39" s="26">
        <f>J40+J41+J42+J43+J44+J45+J46+J47+J48+J49</f>
        <v>120000</v>
      </c>
      <c r="K39" s="25"/>
      <c r="L39" s="25"/>
      <c r="M39" s="25"/>
      <c r="N39" s="26"/>
      <c r="O39" s="26"/>
      <c r="P39" s="25"/>
      <c r="Q39" s="25"/>
      <c r="R39" s="25"/>
      <c r="S39" s="25"/>
      <c r="T39" s="25"/>
      <c r="U39" s="78">
        <f>H39+I39+J39+N39+O39</f>
        <v>4504000</v>
      </c>
      <c r="V39" s="65"/>
      <c r="W39" s="65"/>
      <c r="X39" s="65"/>
      <c r="Y39" s="65"/>
      <c r="Z39" s="65"/>
      <c r="AA39" s="65"/>
      <c r="AB39" s="65"/>
      <c r="AC39" s="65"/>
      <c r="AD39" s="65"/>
      <c r="AE39" s="65"/>
    </row>
    <row r="40" spans="1:31" x14ac:dyDescent="0.2">
      <c r="A40" s="19" t="s">
        <v>1</v>
      </c>
      <c r="B40" s="19"/>
      <c r="C40" s="19"/>
      <c r="D40" s="19"/>
      <c r="E40" s="19"/>
      <c r="F40" s="19"/>
      <c r="G40" s="19"/>
      <c r="H40" s="22"/>
      <c r="I40" s="36"/>
      <c r="J40" s="19">
        <f>60000/2</f>
        <v>30000</v>
      </c>
      <c r="K40" s="19"/>
      <c r="L40" s="19"/>
      <c r="M40" s="19"/>
      <c r="N40" s="23"/>
      <c r="O40" s="23"/>
      <c r="P40" s="19"/>
      <c r="Q40" s="23"/>
      <c r="R40" s="19"/>
      <c r="S40" s="19"/>
      <c r="T40" s="19"/>
      <c r="U40" s="19">
        <f>H40+I40+J40+N40</f>
        <v>30000</v>
      </c>
      <c r="V40" s="65"/>
      <c r="W40" s="65"/>
      <c r="X40" s="65"/>
      <c r="Y40" s="65"/>
      <c r="Z40" s="65"/>
      <c r="AA40" s="65"/>
      <c r="AB40" s="65"/>
      <c r="AC40" s="65"/>
      <c r="AD40" s="65"/>
      <c r="AE40" s="65"/>
    </row>
    <row r="41" spans="1:31" x14ac:dyDescent="0.2">
      <c r="A41" s="4" t="s">
        <v>49</v>
      </c>
      <c r="B41" s="4"/>
      <c r="C41" s="4"/>
      <c r="D41" s="4"/>
      <c r="E41" s="4"/>
      <c r="F41" s="4"/>
      <c r="G41" s="4"/>
      <c r="H41" s="4">
        <f>504000/2</f>
        <v>252000</v>
      </c>
      <c r="I41" s="4">
        <f>48000*8/2</f>
        <v>192000</v>
      </c>
      <c r="J41" s="4">
        <f>20000/2</f>
        <v>10000</v>
      </c>
      <c r="K41" s="4"/>
      <c r="L41" s="4"/>
      <c r="M41" s="4"/>
      <c r="N41" s="4"/>
      <c r="O41" s="8"/>
      <c r="P41" s="4"/>
      <c r="Q41" s="4"/>
      <c r="R41" s="4"/>
      <c r="S41" s="4"/>
      <c r="T41" s="4"/>
      <c r="U41" s="4">
        <f>H41+I41+J41</f>
        <v>454000</v>
      </c>
      <c r="V41" s="65"/>
      <c r="W41" s="65"/>
      <c r="X41" s="65"/>
      <c r="Y41" s="65"/>
      <c r="Z41" s="65"/>
      <c r="AA41" s="65"/>
      <c r="AB41" s="65"/>
      <c r="AC41" s="65"/>
      <c r="AD41" s="65"/>
      <c r="AE41" s="65"/>
    </row>
    <row r="42" spans="1:31" x14ac:dyDescent="0.2">
      <c r="A42" s="4" t="s">
        <v>50</v>
      </c>
      <c r="B42" s="4"/>
      <c r="C42" s="4"/>
      <c r="D42" s="4"/>
      <c r="E42" s="4"/>
      <c r="F42" s="4"/>
      <c r="G42" s="4"/>
      <c r="H42" s="4">
        <f>616000/2</f>
        <v>308000</v>
      </c>
      <c r="I42" s="4">
        <f>48000*11/2</f>
        <v>264000</v>
      </c>
      <c r="J42" s="4">
        <f t="shared" ref="J42:J49" si="2">20000/2</f>
        <v>10000</v>
      </c>
      <c r="K42" s="4"/>
      <c r="L42" s="4"/>
      <c r="M42" s="4"/>
      <c r="N42" s="4"/>
      <c r="O42" s="8"/>
      <c r="P42" s="4"/>
      <c r="Q42" s="4"/>
      <c r="R42" s="4"/>
      <c r="S42" s="4"/>
      <c r="T42" s="4"/>
      <c r="U42" s="4">
        <f t="shared" ref="U42:U49" si="3">H42+I42+J42</f>
        <v>582000</v>
      </c>
      <c r="V42" s="65"/>
      <c r="W42" s="65"/>
      <c r="X42" s="65"/>
      <c r="Y42" s="65"/>
      <c r="Z42" s="65"/>
      <c r="AA42" s="65"/>
      <c r="AB42" s="65"/>
      <c r="AC42" s="65"/>
      <c r="AD42" s="65"/>
      <c r="AE42" s="65"/>
    </row>
    <row r="43" spans="1:31" x14ac:dyDescent="0.2">
      <c r="A43" s="4" t="s">
        <v>51</v>
      </c>
      <c r="B43" s="4"/>
      <c r="C43" s="4"/>
      <c r="D43" s="4"/>
      <c r="E43" s="4"/>
      <c r="F43" s="4"/>
      <c r="G43" s="4"/>
      <c r="H43" s="4">
        <f>616000/2</f>
        <v>308000</v>
      </c>
      <c r="I43" s="4">
        <f>48000*8/2</f>
        <v>192000</v>
      </c>
      <c r="J43" s="4">
        <f t="shared" si="2"/>
        <v>10000</v>
      </c>
      <c r="K43" s="4"/>
      <c r="L43" s="4"/>
      <c r="M43" s="4"/>
      <c r="N43" s="4"/>
      <c r="O43" s="8"/>
      <c r="P43" s="4"/>
      <c r="Q43" s="4"/>
      <c r="R43" s="4"/>
      <c r="S43" s="4"/>
      <c r="T43" s="4"/>
      <c r="U43" s="4">
        <f t="shared" si="3"/>
        <v>510000</v>
      </c>
      <c r="V43" s="65"/>
      <c r="W43" s="65"/>
      <c r="X43" s="65"/>
      <c r="Y43" s="65"/>
      <c r="Z43" s="65"/>
      <c r="AA43" s="65"/>
      <c r="AB43" s="65"/>
      <c r="AC43" s="65"/>
      <c r="AD43" s="65"/>
      <c r="AE43" s="65"/>
    </row>
    <row r="44" spans="1:31" x14ac:dyDescent="0.2">
      <c r="A44" s="4" t="s">
        <v>52</v>
      </c>
      <c r="B44" s="4"/>
      <c r="C44" s="4"/>
      <c r="D44" s="4"/>
      <c r="E44" s="4"/>
      <c r="F44" s="4"/>
      <c r="G44" s="4"/>
      <c r="H44" s="4">
        <f>448000/2</f>
        <v>224000</v>
      </c>
      <c r="I44" s="4">
        <f>48000*8/2</f>
        <v>192000</v>
      </c>
      <c r="J44" s="4">
        <f t="shared" si="2"/>
        <v>10000</v>
      </c>
      <c r="K44" s="4"/>
      <c r="L44" s="4"/>
      <c r="M44" s="4"/>
      <c r="N44" s="4"/>
      <c r="O44" s="8"/>
      <c r="P44" s="4"/>
      <c r="Q44" s="4"/>
      <c r="R44" s="4"/>
      <c r="S44" s="4"/>
      <c r="T44" s="4"/>
      <c r="U44" s="4">
        <f t="shared" si="3"/>
        <v>426000</v>
      </c>
      <c r="V44" s="65"/>
      <c r="W44" s="65"/>
      <c r="X44" s="65"/>
      <c r="Y44" s="65"/>
      <c r="Z44" s="65"/>
      <c r="AA44" s="65"/>
      <c r="AB44" s="65"/>
      <c r="AC44" s="65"/>
      <c r="AD44" s="65"/>
      <c r="AE44" s="65"/>
    </row>
    <row r="45" spans="1:31" x14ac:dyDescent="0.2">
      <c r="A45" s="4" t="s">
        <v>53</v>
      </c>
      <c r="B45" s="4"/>
      <c r="C45" s="4"/>
      <c r="D45" s="4"/>
      <c r="E45" s="4"/>
      <c r="F45" s="4"/>
      <c r="G45" s="4"/>
      <c r="H45" s="4">
        <f>504000/2</f>
        <v>252000</v>
      </c>
      <c r="I45" s="4">
        <f>48000*9/2</f>
        <v>216000</v>
      </c>
      <c r="J45" s="4">
        <f t="shared" si="2"/>
        <v>10000</v>
      </c>
      <c r="K45" s="4"/>
      <c r="L45" s="4"/>
      <c r="M45" s="4"/>
      <c r="N45" s="4"/>
      <c r="O45" s="8"/>
      <c r="P45" s="4"/>
      <c r="Q45" s="4"/>
      <c r="R45" s="4"/>
      <c r="S45" s="4"/>
      <c r="T45" s="4"/>
      <c r="U45" s="4">
        <f t="shared" si="3"/>
        <v>478000</v>
      </c>
      <c r="V45" s="65"/>
      <c r="W45" s="65"/>
      <c r="X45" s="65"/>
      <c r="Y45" s="65"/>
      <c r="Z45" s="65"/>
      <c r="AA45" s="65"/>
      <c r="AB45" s="65"/>
      <c r="AC45" s="65"/>
      <c r="AD45" s="65"/>
      <c r="AE45" s="65"/>
    </row>
    <row r="46" spans="1:31" x14ac:dyDescent="0.2">
      <c r="A46" s="4" t="s">
        <v>54</v>
      </c>
      <c r="B46" s="4"/>
      <c r="C46" s="4"/>
      <c r="D46" s="4"/>
      <c r="E46" s="4"/>
      <c r="F46" s="4"/>
      <c r="G46" s="4"/>
      <c r="H46" s="4">
        <f>448000/2</f>
        <v>224000</v>
      </c>
      <c r="I46" s="4">
        <f>48000*8/2</f>
        <v>192000</v>
      </c>
      <c r="J46" s="4">
        <f t="shared" si="2"/>
        <v>10000</v>
      </c>
      <c r="K46" s="4"/>
      <c r="L46" s="4"/>
      <c r="M46" s="4"/>
      <c r="N46" s="4"/>
      <c r="O46" s="8"/>
      <c r="P46" s="4"/>
      <c r="Q46" s="4"/>
      <c r="R46" s="4"/>
      <c r="S46" s="4"/>
      <c r="T46" s="4"/>
      <c r="U46" s="4">
        <f t="shared" si="3"/>
        <v>426000</v>
      </c>
      <c r="V46" s="65"/>
      <c r="W46" s="65"/>
      <c r="X46" s="65"/>
      <c r="Y46" s="65"/>
      <c r="Z46" s="65"/>
      <c r="AA46" s="65"/>
      <c r="AB46" s="65"/>
      <c r="AC46" s="65"/>
      <c r="AD46" s="65"/>
      <c r="AE46" s="65"/>
    </row>
    <row r="47" spans="1:31" x14ac:dyDescent="0.2">
      <c r="A47" s="4" t="s">
        <v>55</v>
      </c>
      <c r="B47" s="4"/>
      <c r="C47" s="4"/>
      <c r="D47" s="4"/>
      <c r="E47" s="4"/>
      <c r="F47" s="4"/>
      <c r="G47" s="4"/>
      <c r="H47" s="4">
        <f>616000/2</f>
        <v>308000</v>
      </c>
      <c r="I47" s="4">
        <f>48000*10/2</f>
        <v>240000</v>
      </c>
      <c r="J47" s="4">
        <f t="shared" si="2"/>
        <v>10000</v>
      </c>
      <c r="K47" s="4"/>
      <c r="L47" s="4"/>
      <c r="M47" s="4"/>
      <c r="N47" s="4"/>
      <c r="O47" s="8"/>
      <c r="P47" s="4"/>
      <c r="Q47" s="4"/>
      <c r="R47" s="4"/>
      <c r="S47" s="4"/>
      <c r="T47" s="4"/>
      <c r="U47" s="4">
        <f t="shared" si="3"/>
        <v>558000</v>
      </c>
      <c r="V47" s="65"/>
      <c r="W47" s="65"/>
      <c r="X47" s="65"/>
      <c r="Y47" s="65"/>
      <c r="Z47" s="65"/>
      <c r="AA47" s="65"/>
      <c r="AB47" s="65"/>
      <c r="AC47" s="65"/>
      <c r="AD47" s="65"/>
      <c r="AE47" s="65"/>
    </row>
    <row r="48" spans="1:31" x14ac:dyDescent="0.2">
      <c r="A48" s="4" t="s">
        <v>56</v>
      </c>
      <c r="B48" s="4"/>
      <c r="C48" s="4"/>
      <c r="D48" s="4"/>
      <c r="E48" s="4"/>
      <c r="F48" s="4"/>
      <c r="G48" s="4"/>
      <c r="H48" s="4">
        <f>616000/2</f>
        <v>308000</v>
      </c>
      <c r="I48" s="4">
        <f>48000*8/2</f>
        <v>192000</v>
      </c>
      <c r="J48" s="4">
        <f t="shared" si="2"/>
        <v>10000</v>
      </c>
      <c r="K48" s="4"/>
      <c r="L48" s="4"/>
      <c r="M48" s="4"/>
      <c r="N48" s="4"/>
      <c r="O48" s="8"/>
      <c r="P48" s="4"/>
      <c r="Q48" s="4"/>
      <c r="R48" s="4"/>
      <c r="S48" s="4"/>
      <c r="T48" s="4"/>
      <c r="U48" s="4">
        <f t="shared" si="3"/>
        <v>510000</v>
      </c>
      <c r="V48" s="65"/>
      <c r="W48" s="65"/>
      <c r="X48" s="65"/>
      <c r="Y48" s="65"/>
      <c r="Z48" s="65"/>
      <c r="AA48" s="65"/>
      <c r="AB48" s="65"/>
      <c r="AC48" s="65"/>
      <c r="AD48" s="65"/>
      <c r="AE48" s="65"/>
    </row>
    <row r="49" spans="1:31" x14ac:dyDescent="0.2">
      <c r="A49" s="4" t="s">
        <v>57</v>
      </c>
      <c r="B49" s="4"/>
      <c r="C49" s="4"/>
      <c r="D49" s="4"/>
      <c r="E49" s="4"/>
      <c r="F49" s="4"/>
      <c r="G49" s="4"/>
      <c r="H49" s="4">
        <f>560000/2</f>
        <v>280000</v>
      </c>
      <c r="I49" s="4">
        <f>48000*10/2</f>
        <v>240000</v>
      </c>
      <c r="J49" s="4">
        <f t="shared" si="2"/>
        <v>10000</v>
      </c>
      <c r="K49" s="4"/>
      <c r="L49" s="4"/>
      <c r="M49" s="4"/>
      <c r="N49" s="4"/>
      <c r="O49" s="8"/>
      <c r="P49" s="4"/>
      <c r="Q49" s="4"/>
      <c r="R49" s="4"/>
      <c r="S49" s="4"/>
      <c r="T49" s="4"/>
      <c r="U49" s="4">
        <f t="shared" si="3"/>
        <v>530000</v>
      </c>
      <c r="V49" s="65"/>
      <c r="W49" s="65"/>
      <c r="X49" s="65"/>
      <c r="Y49" s="65"/>
      <c r="Z49" s="65"/>
      <c r="AA49" s="65"/>
      <c r="AB49" s="65"/>
      <c r="AC49" s="65"/>
      <c r="AD49" s="65"/>
      <c r="AE49" s="65"/>
    </row>
    <row r="50" spans="1:31" x14ac:dyDescent="0.2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6"/>
      <c r="P50" s="45"/>
      <c r="Q50" s="45"/>
      <c r="R50" s="45"/>
      <c r="S50" s="45"/>
      <c r="T50" s="45"/>
      <c r="U50" s="45"/>
      <c r="V50" s="65"/>
      <c r="W50" s="65"/>
      <c r="X50" s="65"/>
      <c r="Y50" s="65"/>
      <c r="Z50" s="65"/>
      <c r="AA50" s="65"/>
      <c r="AB50" s="65"/>
      <c r="AC50" s="65"/>
      <c r="AD50" s="65"/>
      <c r="AE50" s="65"/>
    </row>
    <row r="51" spans="1:31" ht="18.75" x14ac:dyDescent="0.3">
      <c r="A51" s="33" t="s">
        <v>151</v>
      </c>
      <c r="B51" s="33"/>
      <c r="C51" s="33"/>
      <c r="D51" s="33"/>
      <c r="E51" s="33"/>
      <c r="F51" s="33"/>
      <c r="G51" s="33"/>
      <c r="H51" s="44"/>
      <c r="I51" s="33"/>
      <c r="J51" s="33"/>
      <c r="K51" s="33"/>
      <c r="L51" s="33"/>
      <c r="M51" s="33"/>
      <c r="N51" s="44"/>
      <c r="O51" s="33"/>
      <c r="P51" s="33"/>
      <c r="Q51" s="33"/>
      <c r="R51" s="33"/>
      <c r="S51" s="33"/>
      <c r="T51" s="33"/>
      <c r="U51" s="43"/>
      <c r="V51" s="65"/>
      <c r="W51" s="65"/>
      <c r="X51" s="65"/>
      <c r="Y51" s="65"/>
      <c r="Z51" s="65"/>
      <c r="AA51" s="65"/>
      <c r="AB51" s="65"/>
      <c r="AC51" s="65"/>
      <c r="AD51" s="65"/>
      <c r="AE51" s="65"/>
    </row>
    <row r="52" spans="1:31" ht="14.25" x14ac:dyDescent="0.25">
      <c r="A52" s="50" t="s">
        <v>174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65"/>
      <c r="W52" s="65"/>
      <c r="X52" s="65"/>
      <c r="Y52" s="65"/>
      <c r="Z52" s="65"/>
      <c r="AA52" s="65"/>
      <c r="AB52" s="65"/>
      <c r="AC52" s="65"/>
      <c r="AD52" s="65"/>
      <c r="AE52" s="65"/>
    </row>
    <row r="53" spans="1:31" ht="14.25" x14ac:dyDescent="0.25">
      <c r="A53" s="50" t="s">
        <v>177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65"/>
      <c r="W53" s="65"/>
      <c r="X53" s="65"/>
      <c r="Y53" s="65"/>
      <c r="Z53" s="65"/>
      <c r="AA53" s="65"/>
      <c r="AB53" s="65"/>
      <c r="AC53" s="65"/>
      <c r="AD53" s="65"/>
      <c r="AE53" s="65"/>
    </row>
    <row r="54" spans="1:31" ht="14.25" x14ac:dyDescent="0.25">
      <c r="A54" s="50" t="s">
        <v>175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65"/>
      <c r="W54" s="65"/>
      <c r="X54" s="65"/>
      <c r="Y54" s="65"/>
      <c r="Z54" s="65"/>
      <c r="AA54" s="65"/>
      <c r="AB54" s="65"/>
      <c r="AC54" s="65"/>
      <c r="AD54" s="65"/>
      <c r="AE54" s="65"/>
    </row>
    <row r="55" spans="1:31" ht="14.25" x14ac:dyDescent="0.25">
      <c r="A55" s="50" t="s">
        <v>178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65"/>
      <c r="W55" s="65"/>
      <c r="X55" s="65"/>
      <c r="Y55" s="65"/>
      <c r="Z55" s="65"/>
      <c r="AA55" s="65"/>
      <c r="AB55" s="65"/>
      <c r="AC55" s="65"/>
      <c r="AD55" s="65"/>
      <c r="AE55" s="65"/>
    </row>
    <row r="56" spans="1:31" ht="14.25" x14ac:dyDescent="0.25">
      <c r="A56" s="50" t="s">
        <v>180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65"/>
      <c r="W56" s="65"/>
      <c r="X56" s="65"/>
      <c r="Y56" s="65"/>
      <c r="Z56" s="65"/>
      <c r="AA56" s="65"/>
      <c r="AB56" s="65"/>
      <c r="AC56" s="65"/>
      <c r="AD56" s="65"/>
      <c r="AE56" s="65"/>
    </row>
    <row r="57" spans="1:31" ht="14.25" x14ac:dyDescent="0.25">
      <c r="A57" s="50" t="s">
        <v>179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65"/>
      <c r="W57" s="65"/>
      <c r="X57" s="65"/>
      <c r="Y57" s="65"/>
      <c r="Z57" s="65"/>
      <c r="AA57" s="65"/>
      <c r="AB57" s="65"/>
      <c r="AC57" s="65"/>
      <c r="AD57" s="65"/>
      <c r="AE57" s="65"/>
    </row>
    <row r="58" spans="1:31" ht="14.25" x14ac:dyDescent="0.25">
      <c r="A58" s="50" t="s">
        <v>176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65"/>
      <c r="W58" s="65"/>
      <c r="X58" s="65"/>
      <c r="Y58" s="65"/>
      <c r="Z58" s="65"/>
      <c r="AA58" s="65"/>
      <c r="AB58" s="65"/>
      <c r="AC58" s="65"/>
      <c r="AD58" s="65"/>
      <c r="AE58" s="65"/>
    </row>
    <row r="59" spans="1:31" ht="14.25" x14ac:dyDescent="0.25">
      <c r="A59" s="50" t="s">
        <v>182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65"/>
      <c r="W59" s="65"/>
      <c r="X59" s="65"/>
      <c r="Y59" s="65"/>
      <c r="Z59" s="65"/>
      <c r="AA59" s="65"/>
      <c r="AB59" s="65"/>
      <c r="AC59" s="65"/>
      <c r="AD59" s="65"/>
      <c r="AE59" s="65"/>
    </row>
    <row r="60" spans="1:31" ht="14.25" x14ac:dyDescent="0.25">
      <c r="A60" s="50" t="s">
        <v>181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65"/>
      <c r="W60" s="65"/>
      <c r="X60" s="65"/>
      <c r="Y60" s="65"/>
      <c r="Z60" s="65"/>
      <c r="AA60" s="65"/>
      <c r="AB60" s="65"/>
      <c r="AC60" s="65"/>
      <c r="AD60" s="65"/>
      <c r="AE60" s="65"/>
    </row>
    <row r="61" spans="1:31" ht="14.25" x14ac:dyDescent="0.25">
      <c r="A61" s="50" t="s">
        <v>166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65"/>
      <c r="W61" s="65"/>
      <c r="X61" s="65"/>
      <c r="Y61" s="65"/>
      <c r="Z61" s="65"/>
      <c r="AA61" s="65"/>
      <c r="AB61" s="65"/>
      <c r="AC61" s="65"/>
      <c r="AD61" s="65"/>
      <c r="AE61" s="65"/>
    </row>
    <row r="62" spans="1:31" ht="14.25" x14ac:dyDescent="0.25">
      <c r="A62" s="50" t="s">
        <v>167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65"/>
      <c r="W62" s="65"/>
      <c r="X62" s="65"/>
      <c r="Y62" s="65"/>
      <c r="Z62" s="65"/>
      <c r="AA62" s="65"/>
      <c r="AB62" s="65"/>
      <c r="AC62" s="65"/>
      <c r="AD62" s="65"/>
      <c r="AE62" s="65"/>
    </row>
    <row r="63" spans="1:31" ht="14.25" x14ac:dyDescent="0.2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0"/>
      <c r="O63" s="50"/>
      <c r="P63" s="50"/>
      <c r="Q63" s="50"/>
      <c r="R63" s="50"/>
      <c r="S63" s="50"/>
      <c r="T63" s="50"/>
      <c r="U63" s="50"/>
      <c r="V63" s="65"/>
      <c r="W63" s="65"/>
      <c r="X63" s="65"/>
      <c r="Y63" s="65"/>
      <c r="Z63" s="65"/>
      <c r="AA63" s="65"/>
      <c r="AB63" s="65"/>
      <c r="AC63" s="65"/>
      <c r="AD63" s="65"/>
      <c r="AE63" s="65"/>
    </row>
    <row r="64" spans="1:31" ht="17.25" x14ac:dyDescent="0.3">
      <c r="A64" s="94" t="s">
        <v>184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0"/>
      <c r="O64" s="50"/>
      <c r="P64" s="50"/>
      <c r="Q64" s="50"/>
      <c r="R64" s="50"/>
      <c r="S64" s="50"/>
      <c r="T64" s="50"/>
      <c r="U64" s="50"/>
      <c r="V64" s="65"/>
      <c r="W64" s="65"/>
      <c r="X64" s="65"/>
      <c r="Y64" s="65"/>
      <c r="Z64" s="65"/>
      <c r="AA64" s="65"/>
      <c r="AB64" s="65"/>
      <c r="AC64" s="65"/>
      <c r="AD64" s="65"/>
      <c r="AE64" s="65"/>
    </row>
    <row r="65" spans="1:31" ht="14.25" x14ac:dyDescent="0.2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0"/>
      <c r="O65" s="50"/>
      <c r="P65" s="50"/>
      <c r="Q65" s="50"/>
      <c r="R65" s="50"/>
      <c r="S65" s="50"/>
      <c r="T65" s="50"/>
      <c r="U65" s="50"/>
      <c r="V65" s="65"/>
      <c r="W65" s="65"/>
      <c r="X65" s="65"/>
      <c r="Y65" s="65"/>
      <c r="Z65" s="65"/>
      <c r="AA65" s="65"/>
      <c r="AB65" s="65"/>
      <c r="AC65" s="65"/>
      <c r="AD65" s="65"/>
      <c r="AE65" s="65"/>
    </row>
    <row r="66" spans="1:31" ht="14.25" x14ac:dyDescent="0.2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0"/>
      <c r="O66" s="50"/>
      <c r="P66" s="50"/>
      <c r="Q66" s="50"/>
      <c r="R66" s="50"/>
      <c r="S66" s="50"/>
      <c r="T66" s="50"/>
      <c r="U66" s="50"/>
      <c r="V66" s="65"/>
      <c r="W66" s="65"/>
      <c r="X66" s="65"/>
      <c r="Y66" s="65"/>
      <c r="Z66" s="65"/>
      <c r="AA66" s="65"/>
      <c r="AB66" s="65"/>
      <c r="AC66" s="65"/>
      <c r="AD66" s="65"/>
      <c r="AE66" s="65"/>
    </row>
    <row r="67" spans="1:31" ht="14.25" x14ac:dyDescent="0.2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0"/>
      <c r="O67" s="50"/>
      <c r="P67" s="50"/>
      <c r="Q67" s="50"/>
      <c r="R67" s="50"/>
      <c r="S67" s="50"/>
      <c r="T67" s="50"/>
      <c r="U67" s="50"/>
      <c r="V67" s="65"/>
      <c r="W67" s="65"/>
      <c r="X67" s="65"/>
      <c r="Y67" s="65"/>
      <c r="Z67" s="65"/>
      <c r="AA67" s="65"/>
      <c r="AB67" s="65"/>
      <c r="AC67" s="65"/>
      <c r="AD67" s="65"/>
      <c r="AE67" s="65"/>
    </row>
    <row r="68" spans="1:31" ht="14.25" x14ac:dyDescent="0.2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0"/>
      <c r="O68" s="50"/>
      <c r="P68" s="50"/>
      <c r="Q68" s="50"/>
      <c r="R68" s="50"/>
      <c r="S68" s="50"/>
      <c r="T68" s="50"/>
      <c r="U68" s="50"/>
      <c r="V68" s="65"/>
      <c r="W68" s="65"/>
      <c r="X68" s="65"/>
      <c r="Y68" s="65"/>
      <c r="Z68" s="65"/>
      <c r="AA68" s="65"/>
      <c r="AB68" s="65"/>
      <c r="AC68" s="65"/>
      <c r="AD68" s="65"/>
      <c r="AE68" s="65"/>
    </row>
    <row r="69" spans="1:31" ht="14.25" x14ac:dyDescent="0.2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0"/>
      <c r="O69" s="50"/>
      <c r="P69" s="50"/>
      <c r="Q69" s="50"/>
      <c r="R69" s="50"/>
      <c r="S69" s="50"/>
      <c r="T69" s="50"/>
      <c r="U69" s="50"/>
      <c r="V69" s="65"/>
      <c r="W69" s="65"/>
      <c r="X69" s="65"/>
      <c r="Y69" s="65"/>
      <c r="Z69" s="65"/>
      <c r="AA69" s="65"/>
      <c r="AB69" s="65"/>
      <c r="AC69" s="65"/>
      <c r="AD69" s="65"/>
      <c r="AE69" s="65"/>
    </row>
    <row r="70" spans="1:31" ht="18.75" x14ac:dyDescent="0.3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65"/>
      <c r="W70" s="65"/>
      <c r="X70" s="65"/>
      <c r="Y70" s="65"/>
      <c r="Z70" s="65"/>
      <c r="AA70" s="65"/>
      <c r="AB70" s="65"/>
      <c r="AC70" s="65"/>
      <c r="AD70" s="65"/>
      <c r="AE70" s="65"/>
    </row>
    <row r="71" spans="1:31" x14ac:dyDescent="0.2">
      <c r="V71" s="65"/>
      <c r="W71" s="65"/>
      <c r="X71" s="65"/>
      <c r="Y71" s="65"/>
      <c r="Z71" s="65"/>
      <c r="AA71" s="65"/>
      <c r="AB71" s="65"/>
      <c r="AC71" s="65"/>
      <c r="AD71" s="65"/>
      <c r="AE71" s="65"/>
    </row>
    <row r="72" spans="1:31" x14ac:dyDescent="0.2">
      <c r="A72" s="6" t="s">
        <v>2</v>
      </c>
      <c r="V72" s="65"/>
      <c r="W72" s="65"/>
      <c r="X72" s="65"/>
      <c r="Y72" s="65"/>
      <c r="Z72" s="65"/>
      <c r="AA72" s="65"/>
      <c r="AB72" s="65"/>
      <c r="AC72" s="65"/>
      <c r="AD72" s="65"/>
      <c r="AE72" s="65"/>
    </row>
    <row r="73" spans="1:31" x14ac:dyDescent="0.2">
      <c r="V73" s="65"/>
      <c r="W73" s="65"/>
      <c r="X73" s="65"/>
      <c r="Y73" s="65"/>
      <c r="Z73" s="65"/>
      <c r="AA73" s="65"/>
      <c r="AB73" s="65"/>
      <c r="AC73" s="65"/>
      <c r="AD73" s="65"/>
      <c r="AE73" s="65"/>
    </row>
    <row r="74" spans="1:31" x14ac:dyDescent="0.2">
      <c r="A74" s="14" t="s">
        <v>0</v>
      </c>
      <c r="B74" s="14" t="s">
        <v>46</v>
      </c>
      <c r="C74" s="14" t="s">
        <v>26</v>
      </c>
      <c r="D74" s="14" t="s">
        <v>46</v>
      </c>
      <c r="E74" s="14" t="s">
        <v>28</v>
      </c>
      <c r="F74" s="14" t="s">
        <v>43</v>
      </c>
      <c r="G74" s="14" t="s">
        <v>43</v>
      </c>
      <c r="H74" s="14" t="s">
        <v>14</v>
      </c>
      <c r="I74" s="14" t="s">
        <v>138</v>
      </c>
      <c r="J74" s="14" t="s">
        <v>30</v>
      </c>
      <c r="K74" s="14" t="s">
        <v>135</v>
      </c>
      <c r="L74" s="14" t="s">
        <v>13</v>
      </c>
      <c r="M74" s="14" t="s">
        <v>13</v>
      </c>
      <c r="N74" s="14" t="s">
        <v>31</v>
      </c>
      <c r="O74" s="14" t="s">
        <v>33</v>
      </c>
      <c r="P74" s="14" t="s">
        <v>33</v>
      </c>
      <c r="Q74" s="14" t="s">
        <v>145</v>
      </c>
      <c r="R74" s="14" t="s">
        <v>35</v>
      </c>
      <c r="S74" s="34" t="s">
        <v>37</v>
      </c>
      <c r="T74" s="14" t="s">
        <v>39</v>
      </c>
      <c r="U74" s="14" t="s">
        <v>41</v>
      </c>
      <c r="V74" s="53"/>
      <c r="W74" s="52"/>
      <c r="X74" s="52"/>
      <c r="Y74" s="53"/>
      <c r="Z74" s="65"/>
      <c r="AA74" s="65"/>
      <c r="AB74" s="65"/>
      <c r="AC74" s="65"/>
      <c r="AD74" s="65"/>
      <c r="AE74" s="65"/>
    </row>
    <row r="75" spans="1:31" ht="13.5" thickBot="1" x14ac:dyDescent="0.25">
      <c r="A75" s="18"/>
      <c r="B75" s="18" t="s">
        <v>48</v>
      </c>
      <c r="C75" s="18" t="s">
        <v>27</v>
      </c>
      <c r="D75" s="18" t="s">
        <v>47</v>
      </c>
      <c r="E75" s="18" t="s">
        <v>29</v>
      </c>
      <c r="F75" s="18" t="s">
        <v>44</v>
      </c>
      <c r="G75" s="18" t="s">
        <v>45</v>
      </c>
      <c r="H75" s="21" t="s">
        <v>137</v>
      </c>
      <c r="I75" s="18" t="s">
        <v>139</v>
      </c>
      <c r="J75" s="18" t="s">
        <v>146</v>
      </c>
      <c r="K75" s="18" t="s">
        <v>136</v>
      </c>
      <c r="L75" s="18" t="s">
        <v>134</v>
      </c>
      <c r="M75" s="18" t="s">
        <v>160</v>
      </c>
      <c r="N75" s="18" t="s">
        <v>32</v>
      </c>
      <c r="O75" s="18" t="s">
        <v>34</v>
      </c>
      <c r="P75" s="18" t="s">
        <v>133</v>
      </c>
      <c r="Q75" s="42" t="s">
        <v>144</v>
      </c>
      <c r="R75" s="18" t="s">
        <v>36</v>
      </c>
      <c r="S75" s="35" t="s">
        <v>38</v>
      </c>
      <c r="T75" s="18" t="s">
        <v>40</v>
      </c>
      <c r="U75" s="18" t="s">
        <v>42</v>
      </c>
      <c r="V75" s="53"/>
      <c r="W75" s="52"/>
      <c r="X75" s="52"/>
      <c r="Y75" s="53"/>
      <c r="Z75" s="65"/>
      <c r="AA75" s="65"/>
      <c r="AB75" s="65"/>
      <c r="AC75" s="65"/>
      <c r="AD75" s="65"/>
      <c r="AE75" s="65"/>
    </row>
    <row r="76" spans="1:31" ht="13.5" thickBot="1" x14ac:dyDescent="0.25">
      <c r="A76" s="24" t="s">
        <v>17</v>
      </c>
      <c r="B76" s="25"/>
      <c r="C76" s="25"/>
      <c r="D76" s="25"/>
      <c r="E76" s="25"/>
      <c r="F76" s="25"/>
      <c r="G76" s="25"/>
      <c r="H76" s="26">
        <f>H78+H79+H80+H81+H82+H83+H84+H85+H86</f>
        <v>3511200</v>
      </c>
      <c r="I76" s="26">
        <f>I78+I79+I80+I81+I82+I83+I84+I85+I86</f>
        <v>1560000</v>
      </c>
      <c r="J76" s="27">
        <f>J77+J78+J79+J80+J81+J82+J83+J84+J85+J86</f>
        <v>120000</v>
      </c>
      <c r="K76" s="25"/>
      <c r="L76" s="25"/>
      <c r="M76" s="25"/>
      <c r="N76" s="27"/>
      <c r="O76" s="27"/>
      <c r="P76" s="25"/>
      <c r="Q76" s="25"/>
      <c r="R76" s="25"/>
      <c r="S76" s="25"/>
      <c r="T76" s="25"/>
      <c r="U76" s="31">
        <f>H76+I76+J76+N76+O76</f>
        <v>5191200</v>
      </c>
      <c r="V76" s="53"/>
      <c r="W76" s="54"/>
      <c r="X76" s="54"/>
      <c r="Y76" s="53"/>
      <c r="Z76" s="65"/>
      <c r="AA76" s="65"/>
      <c r="AB76" s="65"/>
      <c r="AC76" s="65"/>
      <c r="AD76" s="65"/>
      <c r="AE76" s="65"/>
    </row>
    <row r="77" spans="1:31" x14ac:dyDescent="0.2">
      <c r="A77" s="19" t="s">
        <v>2</v>
      </c>
      <c r="B77" s="19"/>
      <c r="C77" s="19"/>
      <c r="D77" s="19"/>
      <c r="E77" s="19"/>
      <c r="F77" s="19"/>
      <c r="G77" s="19"/>
      <c r="H77" s="19"/>
      <c r="I77" s="19"/>
      <c r="J77" s="19">
        <f>60000/2</f>
        <v>30000</v>
      </c>
      <c r="K77" s="19"/>
      <c r="L77" s="19"/>
      <c r="M77" s="19"/>
      <c r="N77" s="22"/>
      <c r="O77" s="22"/>
      <c r="P77" s="19"/>
      <c r="Q77" s="22"/>
      <c r="R77" s="19"/>
      <c r="S77" s="19"/>
      <c r="T77" s="19"/>
      <c r="U77" s="19">
        <f>J77+Q77</f>
        <v>30000</v>
      </c>
      <c r="V77" s="53"/>
      <c r="W77" s="55"/>
      <c r="X77" s="55"/>
      <c r="Y77" s="53"/>
      <c r="Z77" s="65"/>
      <c r="AA77" s="65"/>
      <c r="AB77" s="65"/>
      <c r="AC77" s="65"/>
      <c r="AD77" s="65"/>
      <c r="AE77" s="65"/>
    </row>
    <row r="78" spans="1:31" x14ac:dyDescent="0.2">
      <c r="A78" s="4" t="s">
        <v>58</v>
      </c>
      <c r="B78" s="4"/>
      <c r="C78" s="4"/>
      <c r="D78" s="4"/>
      <c r="E78" s="4"/>
      <c r="F78" s="4"/>
      <c r="G78" s="4"/>
      <c r="H78" s="4">
        <f>683200/2</f>
        <v>341600</v>
      </c>
      <c r="I78" s="4">
        <f>48000*2/2</f>
        <v>48000</v>
      </c>
      <c r="J78" s="4">
        <f>20000/2</f>
        <v>10000</v>
      </c>
      <c r="K78" s="4"/>
      <c r="L78" s="4"/>
      <c r="M78" s="4"/>
      <c r="N78" s="4"/>
      <c r="O78" s="9"/>
      <c r="P78" s="4"/>
      <c r="Q78" s="4"/>
      <c r="R78" s="4"/>
      <c r="S78" s="4"/>
      <c r="T78" s="4"/>
      <c r="U78" s="4">
        <f>H78+I78+J78</f>
        <v>399600</v>
      </c>
      <c r="V78" s="45"/>
      <c r="W78" s="55"/>
      <c r="X78" s="55"/>
      <c r="Y78" s="56"/>
      <c r="Z78" s="65"/>
      <c r="AA78" s="65"/>
      <c r="AB78" s="65"/>
      <c r="AC78" s="65"/>
      <c r="AD78" s="65"/>
      <c r="AE78" s="65"/>
    </row>
    <row r="79" spans="1:31" x14ac:dyDescent="0.2">
      <c r="A79" s="4" t="s">
        <v>59</v>
      </c>
      <c r="B79" s="4"/>
      <c r="C79" s="4"/>
      <c r="D79" s="4"/>
      <c r="E79" s="4"/>
      <c r="F79" s="4"/>
      <c r="G79" s="4"/>
      <c r="H79" s="4">
        <f>616000/2</f>
        <v>308000</v>
      </c>
      <c r="I79" s="4">
        <f>48000*10/2</f>
        <v>240000</v>
      </c>
      <c r="J79" s="4">
        <f t="shared" ref="J79:J86" si="4">20000/2</f>
        <v>10000</v>
      </c>
      <c r="K79" s="4"/>
      <c r="L79" s="4"/>
      <c r="M79" s="4"/>
      <c r="N79" s="4"/>
      <c r="O79" s="9"/>
      <c r="P79" s="4"/>
      <c r="Q79" s="4"/>
      <c r="R79" s="4"/>
      <c r="S79" s="4"/>
      <c r="T79" s="4"/>
      <c r="U79" s="4">
        <f t="shared" ref="U79:U86" si="5">H79+I79+J79</f>
        <v>558000</v>
      </c>
      <c r="V79" s="45"/>
      <c r="W79" s="55"/>
      <c r="X79" s="55"/>
      <c r="Y79" s="56"/>
      <c r="Z79" s="65"/>
      <c r="AA79" s="65"/>
      <c r="AB79" s="65"/>
      <c r="AC79" s="65"/>
      <c r="AD79" s="65"/>
      <c r="AE79" s="65"/>
    </row>
    <row r="80" spans="1:31" x14ac:dyDescent="0.2">
      <c r="A80" s="4" t="s">
        <v>60</v>
      </c>
      <c r="B80" s="4"/>
      <c r="C80" s="4"/>
      <c r="D80" s="4"/>
      <c r="E80" s="4"/>
      <c r="F80" s="4"/>
      <c r="G80" s="4"/>
      <c r="H80" s="4">
        <f>784000/2</f>
        <v>392000</v>
      </c>
      <c r="I80" s="4">
        <f>48000*13/2</f>
        <v>312000</v>
      </c>
      <c r="J80" s="4">
        <f t="shared" si="4"/>
        <v>10000</v>
      </c>
      <c r="K80" s="4"/>
      <c r="L80" s="4"/>
      <c r="M80" s="4"/>
      <c r="N80" s="4"/>
      <c r="O80" s="9"/>
      <c r="P80" s="4"/>
      <c r="Q80" s="4"/>
      <c r="R80" s="4"/>
      <c r="S80" s="4"/>
      <c r="T80" s="4"/>
      <c r="U80" s="4">
        <f t="shared" si="5"/>
        <v>714000</v>
      </c>
      <c r="V80" s="45"/>
      <c r="W80" s="55"/>
      <c r="X80" s="55"/>
      <c r="Y80" s="56"/>
      <c r="Z80" s="65"/>
      <c r="AA80" s="65"/>
      <c r="AB80" s="65"/>
      <c r="AC80" s="65"/>
      <c r="AD80" s="65"/>
      <c r="AE80" s="65"/>
    </row>
    <row r="81" spans="1:31" x14ac:dyDescent="0.2">
      <c r="A81" s="60" t="s">
        <v>61</v>
      </c>
      <c r="B81" s="4"/>
      <c r="C81" s="4"/>
      <c r="D81" s="4"/>
      <c r="E81" s="4"/>
      <c r="F81" s="4"/>
      <c r="G81" s="4"/>
      <c r="H81" s="4">
        <f>1355200/2</f>
        <v>677600</v>
      </c>
      <c r="I81" s="4">
        <f>48000*9/2</f>
        <v>216000</v>
      </c>
      <c r="J81" s="4">
        <f t="shared" si="4"/>
        <v>10000</v>
      </c>
      <c r="K81" s="4"/>
      <c r="L81" s="4"/>
      <c r="M81" s="4"/>
      <c r="N81" s="4"/>
      <c r="O81" s="9"/>
      <c r="P81" s="4"/>
      <c r="Q81" s="4"/>
      <c r="R81" s="4"/>
      <c r="S81" s="4"/>
      <c r="T81" s="4"/>
      <c r="U81" s="4">
        <f t="shared" si="5"/>
        <v>903600</v>
      </c>
      <c r="V81" s="45"/>
      <c r="W81" s="55"/>
      <c r="X81" s="55"/>
      <c r="Y81" s="56"/>
      <c r="Z81" s="65"/>
      <c r="AA81" s="65"/>
      <c r="AB81" s="65"/>
      <c r="AC81" s="65"/>
      <c r="AD81" s="65"/>
      <c r="AE81" s="65"/>
    </row>
    <row r="82" spans="1:31" x14ac:dyDescent="0.2">
      <c r="A82" s="4" t="s">
        <v>62</v>
      </c>
      <c r="B82" s="4"/>
      <c r="C82" s="4"/>
      <c r="D82" s="4"/>
      <c r="E82" s="4"/>
      <c r="F82" s="4"/>
      <c r="G82" s="4"/>
      <c r="H82" s="4">
        <f>1052800/2</f>
        <v>526400</v>
      </c>
      <c r="I82" s="4">
        <f>48000*6/2</f>
        <v>144000</v>
      </c>
      <c r="J82" s="4">
        <f t="shared" si="4"/>
        <v>10000</v>
      </c>
      <c r="K82" s="4"/>
      <c r="L82" s="4"/>
      <c r="M82" s="4"/>
      <c r="N82" s="4"/>
      <c r="O82" s="9"/>
      <c r="P82" s="4"/>
      <c r="Q82" s="4"/>
      <c r="R82" s="4"/>
      <c r="S82" s="4"/>
      <c r="T82" s="4"/>
      <c r="U82" s="4">
        <f t="shared" si="5"/>
        <v>680400</v>
      </c>
      <c r="V82" s="45"/>
      <c r="W82" s="55"/>
      <c r="X82" s="55"/>
      <c r="Y82" s="56"/>
      <c r="Z82" s="65"/>
      <c r="AA82" s="65"/>
      <c r="AB82" s="65"/>
      <c r="AC82" s="65"/>
      <c r="AD82" s="65"/>
      <c r="AE82" s="65"/>
    </row>
    <row r="83" spans="1:31" x14ac:dyDescent="0.2">
      <c r="A83" s="4" t="s">
        <v>63</v>
      </c>
      <c r="B83" s="4"/>
      <c r="C83" s="4"/>
      <c r="D83" s="4"/>
      <c r="E83" s="4"/>
      <c r="F83" s="4"/>
      <c r="G83" s="4"/>
      <c r="H83" s="4">
        <f>784000/2</f>
        <v>392000</v>
      </c>
      <c r="I83" s="4">
        <f>48000*10/2</f>
        <v>240000</v>
      </c>
      <c r="J83" s="4">
        <f t="shared" si="4"/>
        <v>10000</v>
      </c>
      <c r="K83" s="4"/>
      <c r="L83" s="4"/>
      <c r="M83" s="4"/>
      <c r="N83" s="4"/>
      <c r="O83" s="9"/>
      <c r="P83" s="4"/>
      <c r="Q83" s="4"/>
      <c r="R83" s="4"/>
      <c r="S83" s="4"/>
      <c r="T83" s="4"/>
      <c r="U83" s="4">
        <f t="shared" si="5"/>
        <v>642000</v>
      </c>
      <c r="V83" s="45"/>
      <c r="W83" s="55"/>
      <c r="X83" s="55"/>
      <c r="Y83" s="56"/>
      <c r="Z83" s="65"/>
      <c r="AA83" s="65"/>
      <c r="AB83" s="65"/>
      <c r="AC83" s="65"/>
      <c r="AD83" s="65"/>
      <c r="AE83" s="65"/>
    </row>
    <row r="84" spans="1:31" x14ac:dyDescent="0.2">
      <c r="A84" s="4" t="s">
        <v>64</v>
      </c>
      <c r="B84" s="4"/>
      <c r="C84" s="4"/>
      <c r="D84" s="4"/>
      <c r="E84" s="4"/>
      <c r="F84" s="4"/>
      <c r="G84" s="4"/>
      <c r="H84" s="4">
        <f>817600/2</f>
        <v>408800</v>
      </c>
      <c r="I84" s="4">
        <f>48000*8/2</f>
        <v>192000</v>
      </c>
      <c r="J84" s="4">
        <f t="shared" si="4"/>
        <v>10000</v>
      </c>
      <c r="K84" s="4"/>
      <c r="L84" s="4"/>
      <c r="M84" s="4"/>
      <c r="N84" s="4"/>
      <c r="O84" s="9"/>
      <c r="P84" s="4"/>
      <c r="Q84" s="4"/>
      <c r="R84" s="4"/>
      <c r="S84" s="4"/>
      <c r="T84" s="4"/>
      <c r="U84" s="4">
        <f t="shared" si="5"/>
        <v>610800</v>
      </c>
      <c r="V84" s="45"/>
      <c r="W84" s="55"/>
      <c r="X84" s="55"/>
      <c r="Y84" s="56"/>
      <c r="Z84" s="65"/>
      <c r="AA84" s="65"/>
      <c r="AB84" s="65"/>
      <c r="AC84" s="65"/>
      <c r="AD84" s="65"/>
      <c r="AE84" s="65"/>
    </row>
    <row r="85" spans="1:31" x14ac:dyDescent="0.2">
      <c r="A85" s="4" t="s">
        <v>65</v>
      </c>
      <c r="B85" s="4"/>
      <c r="C85" s="4"/>
      <c r="D85" s="4"/>
      <c r="E85" s="4"/>
      <c r="F85" s="4"/>
      <c r="G85" s="4"/>
      <c r="H85" s="4">
        <f>369600/2</f>
        <v>184800</v>
      </c>
      <c r="I85" s="4">
        <f>48000*4/2</f>
        <v>96000</v>
      </c>
      <c r="J85" s="4">
        <f t="shared" si="4"/>
        <v>10000</v>
      </c>
      <c r="K85" s="4"/>
      <c r="L85" s="4"/>
      <c r="M85" s="4"/>
      <c r="N85" s="4"/>
      <c r="O85" s="9"/>
      <c r="P85" s="4"/>
      <c r="Q85" s="4"/>
      <c r="R85" s="4"/>
      <c r="S85" s="4"/>
      <c r="T85" s="4"/>
      <c r="U85" s="4">
        <f t="shared" si="5"/>
        <v>290800</v>
      </c>
      <c r="V85" s="45"/>
      <c r="W85" s="55"/>
      <c r="X85" s="55"/>
      <c r="Y85" s="56"/>
      <c r="Z85" s="65"/>
      <c r="AA85" s="65"/>
      <c r="AB85" s="65"/>
      <c r="AC85" s="65"/>
      <c r="AD85" s="65"/>
      <c r="AE85" s="65"/>
    </row>
    <row r="86" spans="1:31" x14ac:dyDescent="0.2">
      <c r="A86" s="4" t="s">
        <v>131</v>
      </c>
      <c r="B86" s="4"/>
      <c r="C86" s="4"/>
      <c r="D86" s="4"/>
      <c r="E86" s="4"/>
      <c r="F86" s="4"/>
      <c r="G86" s="4"/>
      <c r="H86" s="4">
        <f>560000/2</f>
        <v>280000</v>
      </c>
      <c r="I86" s="4">
        <f>48000*3/2</f>
        <v>72000</v>
      </c>
      <c r="J86" s="4">
        <f t="shared" si="4"/>
        <v>10000</v>
      </c>
      <c r="K86" s="4"/>
      <c r="L86" s="4"/>
      <c r="M86" s="4"/>
      <c r="N86" s="4"/>
      <c r="O86" s="9"/>
      <c r="P86" s="4"/>
      <c r="Q86" s="4"/>
      <c r="R86" s="4"/>
      <c r="S86" s="4"/>
      <c r="T86" s="4"/>
      <c r="U86" s="4">
        <f t="shared" si="5"/>
        <v>362000</v>
      </c>
      <c r="V86" s="45"/>
      <c r="W86" s="55"/>
      <c r="X86" s="55"/>
      <c r="Y86" s="56"/>
      <c r="Z86" s="65"/>
      <c r="AA86" s="65"/>
      <c r="AB86" s="65"/>
      <c r="AC86" s="65"/>
      <c r="AD86" s="65"/>
      <c r="AE86" s="65"/>
    </row>
    <row r="87" spans="1:31" x14ac:dyDescent="0.2">
      <c r="H87" s="13"/>
      <c r="I87" s="13"/>
      <c r="J87" s="5"/>
      <c r="N87" s="7"/>
      <c r="O87" s="5"/>
      <c r="U87" s="10"/>
      <c r="V87" s="65"/>
      <c r="W87" s="65"/>
      <c r="X87" s="65"/>
      <c r="Y87" s="65"/>
      <c r="Z87" s="65"/>
      <c r="AA87" s="65"/>
      <c r="AB87" s="65"/>
      <c r="AC87" s="65"/>
      <c r="AD87" s="65"/>
      <c r="AE87" s="65"/>
    </row>
    <row r="88" spans="1:31" ht="18.75" x14ac:dyDescent="0.3">
      <c r="A88" s="33" t="s">
        <v>151</v>
      </c>
      <c r="B88" s="33"/>
      <c r="C88" s="33"/>
      <c r="D88" s="33"/>
      <c r="E88" s="33"/>
      <c r="F88" s="33"/>
      <c r="G88" s="33"/>
      <c r="H88" s="44"/>
      <c r="I88" s="33"/>
      <c r="J88" s="33"/>
      <c r="K88" s="33"/>
      <c r="L88" s="33"/>
      <c r="M88" s="33"/>
      <c r="N88" s="44"/>
      <c r="O88" s="33"/>
      <c r="P88" s="33"/>
      <c r="Q88" s="33"/>
      <c r="R88" s="33"/>
      <c r="S88" s="33"/>
      <c r="T88" s="33"/>
      <c r="U88" s="43"/>
      <c r="V88" s="65"/>
      <c r="W88" s="65"/>
      <c r="X88" s="65"/>
      <c r="Y88" s="65"/>
      <c r="Z88" s="65"/>
      <c r="AA88" s="65"/>
      <c r="AB88" s="65"/>
      <c r="AC88" s="65"/>
      <c r="AD88" s="65"/>
      <c r="AE88" s="65"/>
    </row>
    <row r="89" spans="1:31" ht="14.25" x14ac:dyDescent="0.25">
      <c r="A89" s="50" t="s">
        <v>174</v>
      </c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65"/>
      <c r="W89" s="65"/>
      <c r="X89" s="65"/>
      <c r="Y89" s="65"/>
      <c r="Z89" s="65"/>
      <c r="AA89" s="65"/>
      <c r="AB89" s="65"/>
      <c r="AC89" s="65"/>
      <c r="AD89" s="65"/>
      <c r="AE89" s="65"/>
    </row>
    <row r="90" spans="1:31" ht="14.25" x14ac:dyDescent="0.25">
      <c r="A90" s="50" t="s">
        <v>177</v>
      </c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65"/>
      <c r="W90" s="65"/>
      <c r="X90" s="65"/>
      <c r="Y90" s="65"/>
      <c r="Z90" s="65"/>
      <c r="AA90" s="65"/>
      <c r="AB90" s="65"/>
      <c r="AC90" s="65"/>
      <c r="AD90" s="65"/>
      <c r="AE90" s="65"/>
    </row>
    <row r="91" spans="1:31" ht="14.25" x14ac:dyDescent="0.25">
      <c r="A91" s="50" t="s">
        <v>175</v>
      </c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65"/>
      <c r="W91" s="65"/>
      <c r="X91" s="65"/>
      <c r="Y91" s="65"/>
      <c r="Z91" s="65"/>
      <c r="AA91" s="65"/>
      <c r="AB91" s="65"/>
      <c r="AC91" s="65"/>
      <c r="AD91" s="65"/>
      <c r="AE91" s="65"/>
    </row>
    <row r="92" spans="1:31" ht="14.25" x14ac:dyDescent="0.25">
      <c r="A92" s="50" t="s">
        <v>178</v>
      </c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65"/>
      <c r="W92" s="65"/>
      <c r="X92" s="65"/>
      <c r="Y92" s="65"/>
      <c r="Z92" s="65"/>
      <c r="AA92" s="65"/>
      <c r="AB92" s="65"/>
      <c r="AC92" s="65"/>
      <c r="AD92" s="65"/>
      <c r="AE92" s="65"/>
    </row>
    <row r="93" spans="1:31" ht="14.25" x14ac:dyDescent="0.25">
      <c r="A93" s="50" t="s">
        <v>180</v>
      </c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65"/>
      <c r="W93" s="65"/>
      <c r="X93" s="65"/>
      <c r="Y93" s="65"/>
      <c r="Z93" s="65"/>
      <c r="AA93" s="65"/>
      <c r="AB93" s="65"/>
      <c r="AC93" s="65"/>
      <c r="AD93" s="65"/>
      <c r="AE93" s="65"/>
    </row>
    <row r="94" spans="1:31" ht="14.25" x14ac:dyDescent="0.25">
      <c r="A94" s="50" t="s">
        <v>179</v>
      </c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65"/>
      <c r="W94" s="65"/>
      <c r="X94" s="65"/>
      <c r="Y94" s="65"/>
      <c r="Z94" s="65"/>
      <c r="AA94" s="65"/>
      <c r="AB94" s="65"/>
      <c r="AC94" s="65"/>
      <c r="AD94" s="65"/>
      <c r="AE94" s="65"/>
    </row>
    <row r="95" spans="1:31" ht="14.25" x14ac:dyDescent="0.25">
      <c r="A95" s="50" t="s">
        <v>176</v>
      </c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65"/>
      <c r="W95" s="65"/>
      <c r="X95" s="65"/>
      <c r="Y95" s="65"/>
      <c r="Z95" s="65"/>
      <c r="AA95" s="65"/>
      <c r="AB95" s="65"/>
      <c r="AC95" s="65"/>
      <c r="AD95" s="65"/>
      <c r="AE95" s="65"/>
    </row>
    <row r="96" spans="1:31" ht="14.25" x14ac:dyDescent="0.25">
      <c r="A96" s="50" t="s">
        <v>182</v>
      </c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65"/>
      <c r="W96" s="65"/>
      <c r="X96" s="65"/>
      <c r="Y96" s="65"/>
      <c r="Z96" s="65"/>
      <c r="AA96" s="65"/>
      <c r="AB96" s="65"/>
      <c r="AC96" s="65"/>
      <c r="AD96" s="65"/>
      <c r="AE96" s="65"/>
    </row>
    <row r="97" spans="1:31" ht="14.25" x14ac:dyDescent="0.25">
      <c r="A97" s="50" t="s">
        <v>181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65"/>
      <c r="W97" s="65"/>
      <c r="X97" s="65"/>
      <c r="Y97" s="65"/>
      <c r="Z97" s="65"/>
      <c r="AA97" s="65"/>
      <c r="AB97" s="65"/>
      <c r="AC97" s="65"/>
      <c r="AD97" s="65"/>
      <c r="AE97" s="65"/>
    </row>
    <row r="98" spans="1:31" ht="14.25" x14ac:dyDescent="0.25">
      <c r="A98" s="50" t="s">
        <v>166</v>
      </c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65"/>
      <c r="W98" s="65"/>
      <c r="X98" s="65"/>
      <c r="Y98" s="65"/>
      <c r="Z98" s="65"/>
      <c r="AA98" s="65"/>
      <c r="AB98" s="65"/>
      <c r="AC98" s="65"/>
      <c r="AD98" s="65"/>
      <c r="AE98" s="65"/>
    </row>
    <row r="99" spans="1:31" ht="14.25" x14ac:dyDescent="0.25">
      <c r="A99" s="50" t="s">
        <v>167</v>
      </c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65"/>
      <c r="W99" s="65"/>
      <c r="X99" s="65"/>
      <c r="Y99" s="65"/>
      <c r="Z99" s="65"/>
      <c r="AA99" s="65"/>
      <c r="AB99" s="65"/>
      <c r="AC99" s="65"/>
      <c r="AD99" s="65"/>
      <c r="AE99" s="65"/>
    </row>
    <row r="100" spans="1:31" x14ac:dyDescent="0.2">
      <c r="A100" s="7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</row>
    <row r="101" spans="1:31" ht="17.25" x14ac:dyDescent="0.3">
      <c r="A101" s="94" t="s">
        <v>184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</row>
    <row r="102" spans="1:31" x14ac:dyDescent="0.2"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</row>
    <row r="103" spans="1:31" x14ac:dyDescent="0.2"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</row>
    <row r="104" spans="1:31" x14ac:dyDescent="0.2"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</row>
    <row r="105" spans="1:31" x14ac:dyDescent="0.2"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</row>
    <row r="106" spans="1:31" x14ac:dyDescent="0.2"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</row>
    <row r="107" spans="1:31" x14ac:dyDescent="0.2"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</row>
    <row r="108" spans="1:31" x14ac:dyDescent="0.2"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</row>
    <row r="109" spans="1:31" x14ac:dyDescent="0.2">
      <c r="A109" s="6" t="s">
        <v>3</v>
      </c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</row>
    <row r="110" spans="1:31" x14ac:dyDescent="0.2"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</row>
    <row r="111" spans="1:31" x14ac:dyDescent="0.2">
      <c r="A111" s="14" t="s">
        <v>0</v>
      </c>
      <c r="B111" s="14" t="s">
        <v>46</v>
      </c>
      <c r="C111" s="14" t="s">
        <v>26</v>
      </c>
      <c r="D111" s="14" t="s">
        <v>46</v>
      </c>
      <c r="E111" s="14" t="s">
        <v>28</v>
      </c>
      <c r="F111" s="14" t="s">
        <v>43</v>
      </c>
      <c r="G111" s="14" t="s">
        <v>43</v>
      </c>
      <c r="H111" s="14" t="s">
        <v>14</v>
      </c>
      <c r="I111" s="14" t="s">
        <v>138</v>
      </c>
      <c r="J111" s="14" t="s">
        <v>30</v>
      </c>
      <c r="K111" s="14" t="s">
        <v>135</v>
      </c>
      <c r="L111" s="14" t="s">
        <v>13</v>
      </c>
      <c r="M111" s="14" t="s">
        <v>13</v>
      </c>
      <c r="N111" s="14" t="s">
        <v>31</v>
      </c>
      <c r="O111" s="14" t="s">
        <v>33</v>
      </c>
      <c r="P111" s="14" t="s">
        <v>33</v>
      </c>
      <c r="Q111" s="14" t="s">
        <v>145</v>
      </c>
      <c r="R111" s="14" t="s">
        <v>35</v>
      </c>
      <c r="S111" s="34" t="s">
        <v>37</v>
      </c>
      <c r="T111" s="14" t="s">
        <v>39</v>
      </c>
      <c r="U111" s="14" t="s">
        <v>41</v>
      </c>
      <c r="V111" s="53"/>
      <c r="W111" s="52"/>
      <c r="X111" s="52"/>
      <c r="Y111" s="53"/>
      <c r="Z111" s="65"/>
      <c r="AA111" s="65"/>
      <c r="AB111" s="65"/>
      <c r="AC111" s="65"/>
      <c r="AD111" s="65"/>
      <c r="AE111" s="65"/>
    </row>
    <row r="112" spans="1:31" ht="13.5" thickBot="1" x14ac:dyDescent="0.25">
      <c r="A112" s="18"/>
      <c r="B112" s="18" t="s">
        <v>48</v>
      </c>
      <c r="C112" s="18" t="s">
        <v>27</v>
      </c>
      <c r="D112" s="18" t="s">
        <v>47</v>
      </c>
      <c r="E112" s="18" t="s">
        <v>29</v>
      </c>
      <c r="F112" s="18" t="s">
        <v>44</v>
      </c>
      <c r="G112" s="18" t="s">
        <v>45</v>
      </c>
      <c r="H112" s="21" t="s">
        <v>137</v>
      </c>
      <c r="I112" s="18" t="s">
        <v>139</v>
      </c>
      <c r="J112" s="18" t="s">
        <v>146</v>
      </c>
      <c r="K112" s="18" t="s">
        <v>136</v>
      </c>
      <c r="L112" s="18" t="s">
        <v>134</v>
      </c>
      <c r="M112" s="18" t="s">
        <v>160</v>
      </c>
      <c r="N112" s="18" t="s">
        <v>32</v>
      </c>
      <c r="O112" s="18" t="s">
        <v>34</v>
      </c>
      <c r="P112" s="18" t="s">
        <v>133</v>
      </c>
      <c r="Q112" s="42" t="s">
        <v>144</v>
      </c>
      <c r="R112" s="18" t="s">
        <v>36</v>
      </c>
      <c r="S112" s="35" t="s">
        <v>38</v>
      </c>
      <c r="T112" s="18" t="s">
        <v>40</v>
      </c>
      <c r="U112" s="18" t="s">
        <v>42</v>
      </c>
      <c r="V112" s="53"/>
      <c r="W112" s="52"/>
      <c r="X112" s="52"/>
      <c r="Y112" s="53"/>
      <c r="Z112" s="65"/>
      <c r="AA112" s="65"/>
      <c r="AB112" s="65"/>
      <c r="AC112" s="65"/>
      <c r="AD112" s="65"/>
      <c r="AE112" s="65"/>
    </row>
    <row r="113" spans="1:31" ht="13.5" thickBot="1" x14ac:dyDescent="0.25">
      <c r="A113" s="24" t="s">
        <v>18</v>
      </c>
      <c r="B113" s="25"/>
      <c r="C113" s="25"/>
      <c r="D113" s="25"/>
      <c r="E113" s="25"/>
      <c r="F113" s="25"/>
      <c r="G113" s="25"/>
      <c r="H113" s="26">
        <f>H115+H116+H117+H119+H118+H120+H121+H122</f>
        <v>3180800</v>
      </c>
      <c r="I113" s="26">
        <f>I115+I116+I117+I118+I119+I120+I121+I122</f>
        <v>1224000</v>
      </c>
      <c r="J113" s="27">
        <f>J114+J115+J116+J117+J118+J119+J120+J121+J122</f>
        <v>110000</v>
      </c>
      <c r="K113" s="25"/>
      <c r="L113" s="25"/>
      <c r="M113" s="25"/>
      <c r="N113" s="27"/>
      <c r="O113" s="27"/>
      <c r="P113" s="25"/>
      <c r="Q113" s="25"/>
      <c r="R113" s="25"/>
      <c r="S113" s="25"/>
      <c r="T113" s="25"/>
      <c r="U113" s="31">
        <f>U114+U115+U116+U117+U118+U119+U120+U121+U122</f>
        <v>4514800</v>
      </c>
      <c r="V113" s="53"/>
      <c r="W113" s="54"/>
      <c r="X113" s="54"/>
      <c r="Y113" s="53"/>
      <c r="Z113" s="65"/>
      <c r="AA113" s="65"/>
      <c r="AB113" s="65"/>
      <c r="AC113" s="65"/>
      <c r="AD113" s="65"/>
      <c r="AE113" s="65"/>
    </row>
    <row r="114" spans="1:31" x14ac:dyDescent="0.2">
      <c r="A114" s="19" t="s">
        <v>3</v>
      </c>
      <c r="B114" s="19"/>
      <c r="C114" s="19"/>
      <c r="D114" s="19"/>
      <c r="E114" s="19"/>
      <c r="F114" s="19"/>
      <c r="G114" s="19"/>
      <c r="H114" s="22"/>
      <c r="I114" s="36"/>
      <c r="J114" s="19">
        <f>60000/2</f>
        <v>30000</v>
      </c>
      <c r="K114" s="19"/>
      <c r="L114" s="19"/>
      <c r="M114" s="19"/>
      <c r="N114" s="23"/>
      <c r="O114" s="23"/>
      <c r="P114" s="19"/>
      <c r="Q114" s="23"/>
      <c r="R114" s="19"/>
      <c r="S114" s="19"/>
      <c r="T114" s="19"/>
      <c r="U114" s="39">
        <f t="shared" ref="U114" si="6">H114+I114+J114+N114+O114</f>
        <v>30000</v>
      </c>
      <c r="V114" s="53"/>
      <c r="W114" s="55"/>
      <c r="X114" s="55"/>
      <c r="Y114" s="53"/>
      <c r="Z114" s="65"/>
      <c r="AA114" s="65"/>
      <c r="AB114" s="65"/>
      <c r="AC114" s="65"/>
      <c r="AD114" s="65"/>
      <c r="AE114" s="65"/>
    </row>
    <row r="115" spans="1:31" x14ac:dyDescent="0.2">
      <c r="A115" s="4" t="s">
        <v>66</v>
      </c>
      <c r="B115" s="4"/>
      <c r="C115" s="4"/>
      <c r="D115" s="4"/>
      <c r="E115" s="4"/>
      <c r="F115" s="4"/>
      <c r="G115" s="4"/>
      <c r="H115" s="4">
        <f>806400/2</f>
        <v>403200</v>
      </c>
      <c r="I115" s="4">
        <f>48000*3/2</f>
        <v>72000</v>
      </c>
      <c r="J115" s="4">
        <f>20000/2</f>
        <v>10000</v>
      </c>
      <c r="K115" s="4"/>
      <c r="L115" s="4"/>
      <c r="M115" s="4"/>
      <c r="N115" s="4"/>
      <c r="O115" s="8"/>
      <c r="P115" s="4"/>
      <c r="Q115" s="4"/>
      <c r="R115" s="4"/>
      <c r="S115" s="4"/>
      <c r="T115" s="4"/>
      <c r="U115" s="40">
        <f>H115+I115+J115</f>
        <v>485200</v>
      </c>
      <c r="V115" s="45"/>
      <c r="W115" s="55"/>
      <c r="X115" s="55"/>
      <c r="Y115" s="56"/>
      <c r="Z115" s="65"/>
      <c r="AA115" s="65"/>
      <c r="AB115" s="65"/>
      <c r="AC115" s="65"/>
      <c r="AD115" s="65"/>
      <c r="AE115" s="65"/>
    </row>
    <row r="116" spans="1:31" x14ac:dyDescent="0.2">
      <c r="A116" s="4" t="s">
        <v>67</v>
      </c>
      <c r="B116" s="4"/>
      <c r="C116" s="4"/>
      <c r="D116" s="4"/>
      <c r="E116" s="4"/>
      <c r="F116" s="4"/>
      <c r="G116" s="4"/>
      <c r="H116" s="4">
        <f>963200/2</f>
        <v>481600</v>
      </c>
      <c r="I116" s="4">
        <f>48000*8/2</f>
        <v>192000</v>
      </c>
      <c r="J116" s="4">
        <f t="shared" ref="J116:J122" si="7">20000/2</f>
        <v>10000</v>
      </c>
      <c r="K116" s="4"/>
      <c r="L116" s="4"/>
      <c r="M116" s="4"/>
      <c r="N116" s="4"/>
      <c r="O116" s="8"/>
      <c r="P116" s="4"/>
      <c r="Q116" s="4"/>
      <c r="R116" s="4"/>
      <c r="S116" s="4"/>
      <c r="T116" s="4"/>
      <c r="U116" s="40">
        <f t="shared" ref="U116:U122" si="8">H116+I116+J116</f>
        <v>683600</v>
      </c>
      <c r="V116" s="45"/>
      <c r="W116" s="55"/>
      <c r="X116" s="55"/>
      <c r="Y116" s="56"/>
      <c r="Z116" s="65"/>
      <c r="AA116" s="65"/>
      <c r="AB116" s="65"/>
      <c r="AC116" s="65"/>
      <c r="AD116" s="65"/>
      <c r="AE116" s="65"/>
    </row>
    <row r="117" spans="1:31" x14ac:dyDescent="0.2">
      <c r="A117" s="4" t="s">
        <v>68</v>
      </c>
      <c r="B117" s="4"/>
      <c r="C117" s="4"/>
      <c r="D117" s="4"/>
      <c r="E117" s="4"/>
      <c r="F117" s="4"/>
      <c r="G117" s="4"/>
      <c r="H117" s="4">
        <f>1288000/2</f>
        <v>644000</v>
      </c>
      <c r="I117" s="4">
        <f>48000*18/2</f>
        <v>432000</v>
      </c>
      <c r="J117" s="4">
        <f t="shared" si="7"/>
        <v>10000</v>
      </c>
      <c r="K117" s="4"/>
      <c r="L117" s="4"/>
      <c r="M117" s="4"/>
      <c r="N117" s="4"/>
      <c r="O117" s="8"/>
      <c r="P117" s="4"/>
      <c r="Q117" s="4"/>
      <c r="R117" s="4"/>
      <c r="S117" s="4"/>
      <c r="T117" s="4"/>
      <c r="U117" s="40">
        <f t="shared" si="8"/>
        <v>1086000</v>
      </c>
      <c r="V117" s="45"/>
      <c r="W117" s="55"/>
      <c r="X117" s="55"/>
      <c r="Y117" s="56"/>
      <c r="Z117" s="65"/>
      <c r="AA117" s="65"/>
      <c r="AB117" s="65"/>
      <c r="AC117" s="65"/>
      <c r="AD117" s="65"/>
      <c r="AE117" s="65"/>
    </row>
    <row r="118" spans="1:31" x14ac:dyDescent="0.2">
      <c r="A118" s="4" t="s">
        <v>69</v>
      </c>
      <c r="B118" s="4"/>
      <c r="C118" s="4"/>
      <c r="D118" s="4"/>
      <c r="E118" s="4"/>
      <c r="F118" s="4"/>
      <c r="G118" s="4"/>
      <c r="H118" s="4">
        <f>604800/2</f>
        <v>302400</v>
      </c>
      <c r="I118" s="4">
        <f>48000*1/2</f>
        <v>24000</v>
      </c>
      <c r="J118" s="4">
        <f t="shared" si="7"/>
        <v>10000</v>
      </c>
      <c r="K118" s="4"/>
      <c r="L118" s="4"/>
      <c r="M118" s="4"/>
      <c r="N118" s="4"/>
      <c r="O118" s="8"/>
      <c r="P118" s="4"/>
      <c r="Q118" s="4"/>
      <c r="R118" s="4"/>
      <c r="S118" s="4"/>
      <c r="T118" s="4"/>
      <c r="U118" s="40">
        <f t="shared" si="8"/>
        <v>336400</v>
      </c>
      <c r="V118" s="45"/>
      <c r="W118" s="55"/>
      <c r="X118" s="55"/>
      <c r="Y118" s="56"/>
      <c r="Z118" s="65"/>
      <c r="AA118" s="65"/>
      <c r="AB118" s="65"/>
      <c r="AC118" s="65"/>
      <c r="AD118" s="65"/>
      <c r="AE118" s="65"/>
    </row>
    <row r="119" spans="1:31" x14ac:dyDescent="0.2">
      <c r="A119" s="4" t="s">
        <v>70</v>
      </c>
      <c r="B119" s="4"/>
      <c r="C119" s="4"/>
      <c r="D119" s="4"/>
      <c r="E119" s="4"/>
      <c r="F119" s="4"/>
      <c r="G119" s="4"/>
      <c r="H119" s="4">
        <f>313600/2</f>
        <v>156800</v>
      </c>
      <c r="I119" s="4">
        <f>48000*3/2</f>
        <v>72000</v>
      </c>
      <c r="J119" s="4">
        <f t="shared" si="7"/>
        <v>10000</v>
      </c>
      <c r="K119" s="4"/>
      <c r="L119" s="4"/>
      <c r="M119" s="4"/>
      <c r="N119" s="4"/>
      <c r="O119" s="8"/>
      <c r="P119" s="4"/>
      <c r="Q119" s="4"/>
      <c r="R119" s="4"/>
      <c r="S119" s="4"/>
      <c r="T119" s="4"/>
      <c r="U119" s="40">
        <f t="shared" si="8"/>
        <v>238800</v>
      </c>
      <c r="V119" s="45"/>
      <c r="W119" s="55"/>
      <c r="X119" s="55"/>
      <c r="Y119" s="56"/>
      <c r="Z119" s="65"/>
      <c r="AA119" s="65"/>
      <c r="AB119" s="65"/>
      <c r="AC119" s="65"/>
      <c r="AD119" s="65"/>
      <c r="AE119" s="65"/>
    </row>
    <row r="120" spans="1:31" x14ac:dyDescent="0.2">
      <c r="A120" s="4" t="s">
        <v>71</v>
      </c>
      <c r="B120" s="4"/>
      <c r="C120" s="4"/>
      <c r="D120" s="4"/>
      <c r="E120" s="4"/>
      <c r="F120" s="4"/>
      <c r="G120" s="4"/>
      <c r="H120" s="4">
        <f>616000/2</f>
        <v>308000</v>
      </c>
      <c r="I120" s="4">
        <f>48000*5/2</f>
        <v>120000</v>
      </c>
      <c r="J120" s="4">
        <f t="shared" si="7"/>
        <v>10000</v>
      </c>
      <c r="K120" s="4"/>
      <c r="L120" s="4"/>
      <c r="M120" s="4"/>
      <c r="N120" s="4"/>
      <c r="O120" s="8"/>
      <c r="P120" s="4"/>
      <c r="Q120" s="4"/>
      <c r="R120" s="4"/>
      <c r="S120" s="4"/>
      <c r="T120" s="4"/>
      <c r="U120" s="40">
        <f t="shared" si="8"/>
        <v>438000</v>
      </c>
      <c r="V120" s="45"/>
      <c r="W120" s="55"/>
      <c r="X120" s="55"/>
      <c r="Y120" s="56"/>
      <c r="Z120" s="65"/>
      <c r="AA120" s="65"/>
      <c r="AB120" s="65"/>
      <c r="AC120" s="65"/>
      <c r="AD120" s="65"/>
      <c r="AE120" s="65"/>
    </row>
    <row r="121" spans="1:31" x14ac:dyDescent="0.2">
      <c r="A121" s="4" t="s">
        <v>72</v>
      </c>
      <c r="B121" s="4"/>
      <c r="C121" s="4"/>
      <c r="D121" s="4"/>
      <c r="E121" s="4"/>
      <c r="F121" s="4"/>
      <c r="G121" s="4"/>
      <c r="H121" s="4">
        <f>873600/2</f>
        <v>436800</v>
      </c>
      <c r="I121" s="4">
        <f>48000*9/2</f>
        <v>216000</v>
      </c>
      <c r="J121" s="4">
        <f t="shared" si="7"/>
        <v>10000</v>
      </c>
      <c r="K121" s="4"/>
      <c r="L121" s="4"/>
      <c r="M121" s="4"/>
      <c r="N121" s="4"/>
      <c r="O121" s="8"/>
      <c r="P121" s="4"/>
      <c r="Q121" s="4"/>
      <c r="R121" s="4"/>
      <c r="S121" s="4"/>
      <c r="T121" s="4"/>
      <c r="U121" s="40">
        <f t="shared" si="8"/>
        <v>662800</v>
      </c>
      <c r="V121" s="45"/>
      <c r="W121" s="55"/>
      <c r="X121" s="55"/>
      <c r="Y121" s="56"/>
      <c r="Z121" s="65"/>
      <c r="AA121" s="65"/>
      <c r="AB121" s="65"/>
      <c r="AC121" s="65"/>
      <c r="AD121" s="65"/>
      <c r="AE121" s="65"/>
    </row>
    <row r="122" spans="1:31" x14ac:dyDescent="0.2">
      <c r="A122" s="4" t="s">
        <v>73</v>
      </c>
      <c r="B122" s="4"/>
      <c r="C122" s="4"/>
      <c r="D122" s="4"/>
      <c r="E122" s="4"/>
      <c r="F122" s="4"/>
      <c r="G122" s="4"/>
      <c r="H122" s="4">
        <f>896000/2</f>
        <v>448000</v>
      </c>
      <c r="I122" s="4">
        <f>48000*4/2</f>
        <v>96000</v>
      </c>
      <c r="J122" s="4">
        <f t="shared" si="7"/>
        <v>10000</v>
      </c>
      <c r="K122" s="4"/>
      <c r="L122" s="4"/>
      <c r="M122" s="4"/>
      <c r="N122" s="4"/>
      <c r="O122" s="8"/>
      <c r="P122" s="4"/>
      <c r="Q122" s="4"/>
      <c r="R122" s="4"/>
      <c r="S122" s="4"/>
      <c r="T122" s="4"/>
      <c r="U122" s="40">
        <f t="shared" si="8"/>
        <v>554000</v>
      </c>
      <c r="V122" s="45"/>
      <c r="W122" s="55"/>
      <c r="X122" s="55"/>
      <c r="Y122" s="56"/>
      <c r="Z122" s="65"/>
      <c r="AA122" s="65"/>
      <c r="AB122" s="65"/>
      <c r="AC122" s="65"/>
      <c r="AD122" s="65"/>
      <c r="AE122" s="65"/>
    </row>
    <row r="123" spans="1:31" x14ac:dyDescent="0.2">
      <c r="J123" s="5"/>
      <c r="N123" s="11"/>
      <c r="O123" s="5"/>
      <c r="U123" s="10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</row>
    <row r="124" spans="1:31" ht="18.75" x14ac:dyDescent="0.3">
      <c r="A124" s="33" t="s">
        <v>151</v>
      </c>
      <c r="B124" s="33"/>
      <c r="C124" s="33"/>
      <c r="D124" s="33"/>
      <c r="E124" s="33"/>
      <c r="F124" s="33"/>
      <c r="G124" s="33"/>
      <c r="H124" s="44"/>
      <c r="I124" s="33"/>
      <c r="J124" s="33"/>
      <c r="K124" s="33"/>
      <c r="L124" s="33"/>
      <c r="M124" s="33"/>
      <c r="N124" s="44"/>
      <c r="O124" s="33"/>
      <c r="P124" s="33"/>
      <c r="Q124" s="33"/>
      <c r="R124" s="33"/>
      <c r="S124" s="33"/>
      <c r="T124" s="33"/>
      <c r="U124" s="43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</row>
    <row r="125" spans="1:31" ht="14.25" x14ac:dyDescent="0.25">
      <c r="A125" s="50" t="s">
        <v>174</v>
      </c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</row>
    <row r="126" spans="1:31" ht="14.25" x14ac:dyDescent="0.25">
      <c r="A126" s="50" t="s">
        <v>177</v>
      </c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</row>
    <row r="127" spans="1:31" ht="14.25" x14ac:dyDescent="0.25">
      <c r="A127" s="50" t="s">
        <v>175</v>
      </c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</row>
    <row r="128" spans="1:31" ht="14.25" x14ac:dyDescent="0.25">
      <c r="A128" s="50" t="s">
        <v>178</v>
      </c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</row>
    <row r="129" spans="1:31" ht="14.25" x14ac:dyDescent="0.25">
      <c r="A129" s="50" t="s">
        <v>180</v>
      </c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</row>
    <row r="130" spans="1:31" ht="14.25" x14ac:dyDescent="0.25">
      <c r="A130" s="50" t="s">
        <v>179</v>
      </c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</row>
    <row r="131" spans="1:31" ht="14.25" x14ac:dyDescent="0.25">
      <c r="A131" s="50" t="s">
        <v>176</v>
      </c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</row>
    <row r="132" spans="1:31" ht="14.25" x14ac:dyDescent="0.25">
      <c r="A132" s="50" t="s">
        <v>182</v>
      </c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</row>
    <row r="133" spans="1:31" ht="14.25" x14ac:dyDescent="0.25">
      <c r="A133" s="50" t="s">
        <v>181</v>
      </c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</row>
    <row r="134" spans="1:31" ht="14.25" x14ac:dyDescent="0.25">
      <c r="A134" s="50" t="s">
        <v>166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</row>
    <row r="135" spans="1:31" ht="14.25" x14ac:dyDescent="0.25">
      <c r="A135" s="50" t="s">
        <v>167</v>
      </c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</row>
    <row r="136" spans="1:31" x14ac:dyDescent="0.2"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</row>
    <row r="137" spans="1:31" ht="17.25" x14ac:dyDescent="0.3">
      <c r="A137" s="94" t="s">
        <v>184</v>
      </c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</row>
    <row r="138" spans="1:31" x14ac:dyDescent="0.2"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</row>
    <row r="139" spans="1:31" x14ac:dyDescent="0.2"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</row>
    <row r="140" spans="1:31" x14ac:dyDescent="0.2"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</row>
    <row r="141" spans="1:31" x14ac:dyDescent="0.2"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</row>
    <row r="142" spans="1:31" x14ac:dyDescent="0.2"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</row>
    <row r="143" spans="1:31" x14ac:dyDescent="0.2"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</row>
    <row r="144" spans="1:31" x14ac:dyDescent="0.2"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</row>
    <row r="145" spans="1:31" x14ac:dyDescent="0.2">
      <c r="A145" s="6" t="s">
        <v>4</v>
      </c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</row>
    <row r="146" spans="1:31" x14ac:dyDescent="0.2"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</row>
    <row r="147" spans="1:31" x14ac:dyDescent="0.2">
      <c r="A147" s="14" t="s">
        <v>0</v>
      </c>
      <c r="B147" s="14" t="s">
        <v>46</v>
      </c>
      <c r="C147" s="14" t="s">
        <v>26</v>
      </c>
      <c r="D147" s="14" t="s">
        <v>46</v>
      </c>
      <c r="E147" s="14" t="s">
        <v>28</v>
      </c>
      <c r="F147" s="14" t="s">
        <v>43</v>
      </c>
      <c r="G147" s="14" t="s">
        <v>43</v>
      </c>
      <c r="H147" s="14" t="s">
        <v>14</v>
      </c>
      <c r="I147" s="14" t="s">
        <v>138</v>
      </c>
      <c r="J147" s="14" t="s">
        <v>30</v>
      </c>
      <c r="K147" s="14" t="s">
        <v>135</v>
      </c>
      <c r="L147" s="14" t="s">
        <v>13</v>
      </c>
      <c r="M147" s="14" t="s">
        <v>13</v>
      </c>
      <c r="N147" s="14" t="s">
        <v>31</v>
      </c>
      <c r="O147" s="14" t="s">
        <v>33</v>
      </c>
      <c r="P147" s="14" t="s">
        <v>33</v>
      </c>
      <c r="Q147" s="14" t="s">
        <v>145</v>
      </c>
      <c r="R147" s="14" t="s">
        <v>35</v>
      </c>
      <c r="S147" s="34" t="s">
        <v>37</v>
      </c>
      <c r="T147" s="14" t="s">
        <v>39</v>
      </c>
      <c r="U147" s="14" t="s">
        <v>41</v>
      </c>
      <c r="V147" s="53"/>
      <c r="W147" s="52" t="s">
        <v>30</v>
      </c>
      <c r="X147" s="52" t="s">
        <v>31</v>
      </c>
      <c r="Y147" s="53"/>
      <c r="Z147" s="53"/>
      <c r="AA147" s="65"/>
      <c r="AB147" s="65"/>
      <c r="AC147" s="65"/>
      <c r="AD147" s="65"/>
      <c r="AE147" s="65"/>
    </row>
    <row r="148" spans="1:31" ht="13.5" thickBot="1" x14ac:dyDescent="0.25">
      <c r="A148" s="18"/>
      <c r="B148" s="18" t="s">
        <v>48</v>
      </c>
      <c r="C148" s="18" t="s">
        <v>27</v>
      </c>
      <c r="D148" s="18" t="s">
        <v>47</v>
      </c>
      <c r="E148" s="18" t="s">
        <v>29</v>
      </c>
      <c r="F148" s="18" t="s">
        <v>44</v>
      </c>
      <c r="G148" s="18" t="s">
        <v>45</v>
      </c>
      <c r="H148" s="21" t="s">
        <v>137</v>
      </c>
      <c r="I148" s="18" t="s">
        <v>139</v>
      </c>
      <c r="J148" s="18" t="s">
        <v>146</v>
      </c>
      <c r="K148" s="18" t="s">
        <v>136</v>
      </c>
      <c r="L148" s="18" t="s">
        <v>134</v>
      </c>
      <c r="M148" s="18" t="s">
        <v>160</v>
      </c>
      <c r="N148" s="18" t="s">
        <v>32</v>
      </c>
      <c r="O148" s="18" t="s">
        <v>34</v>
      </c>
      <c r="P148" s="18" t="s">
        <v>133</v>
      </c>
      <c r="Q148" s="42" t="s">
        <v>144</v>
      </c>
      <c r="R148" s="18" t="s">
        <v>36</v>
      </c>
      <c r="S148" s="35" t="s">
        <v>38</v>
      </c>
      <c r="T148" s="18" t="s">
        <v>40</v>
      </c>
      <c r="U148" s="18" t="s">
        <v>42</v>
      </c>
      <c r="V148" s="53"/>
      <c r="W148" s="52" t="s">
        <v>146</v>
      </c>
      <c r="X148" s="52" t="s">
        <v>32</v>
      </c>
      <c r="Y148" s="53"/>
      <c r="Z148" s="53"/>
      <c r="AA148" s="65"/>
      <c r="AB148" s="65"/>
      <c r="AC148" s="65"/>
      <c r="AD148" s="65"/>
      <c r="AE148" s="65"/>
    </row>
    <row r="149" spans="1:31" ht="13.5" thickBot="1" x14ac:dyDescent="0.25">
      <c r="A149" s="24" t="s">
        <v>19</v>
      </c>
      <c r="B149" s="25"/>
      <c r="C149" s="25"/>
      <c r="D149" s="25"/>
      <c r="E149" s="25"/>
      <c r="F149" s="25"/>
      <c r="G149" s="25"/>
      <c r="H149" s="26">
        <f>H151+H152+H153+H154+H155+H156+H157+H158</f>
        <v>6227200</v>
      </c>
      <c r="I149" s="26">
        <f>I151+I152+I153+I154+I155+I156+I157+I158</f>
        <v>744000</v>
      </c>
      <c r="J149" s="26">
        <f>J150+J151+J152+J153+J154+J155+J156+J157+J158</f>
        <v>110000</v>
      </c>
      <c r="K149" s="25"/>
      <c r="L149" s="25"/>
      <c r="M149" s="25"/>
      <c r="N149" s="26"/>
      <c r="O149" s="26"/>
      <c r="P149" s="25"/>
      <c r="Q149" s="25"/>
      <c r="R149" s="25"/>
      <c r="S149" s="25"/>
      <c r="T149" s="25"/>
      <c r="U149" s="89">
        <f>U150+U151+U152+U153+U154+U155+U156+U157+U158</f>
        <v>7081200</v>
      </c>
      <c r="V149" s="53"/>
      <c r="W149" s="54">
        <f>W150+W151+W152+W153+W154+W155+W156+W157+W158</f>
        <v>60000</v>
      </c>
      <c r="X149" s="54">
        <f>X151+X152+X153+X154+X155+X156+X157+X158</f>
        <v>0</v>
      </c>
      <c r="Y149" s="53"/>
      <c r="Z149" s="53"/>
      <c r="AA149" s="65"/>
      <c r="AB149" s="65"/>
      <c r="AC149" s="65"/>
      <c r="AD149" s="65"/>
      <c r="AE149" s="65"/>
    </row>
    <row r="150" spans="1:31" x14ac:dyDescent="0.2">
      <c r="A150" s="19" t="s">
        <v>4</v>
      </c>
      <c r="B150" s="19"/>
      <c r="C150" s="19"/>
      <c r="D150" s="19"/>
      <c r="E150" s="19"/>
      <c r="F150" s="19"/>
      <c r="G150" s="19"/>
      <c r="H150" s="19"/>
      <c r="I150" s="36"/>
      <c r="J150" s="19">
        <f>60000/2</f>
        <v>30000</v>
      </c>
      <c r="K150" s="19"/>
      <c r="L150" s="19"/>
      <c r="M150" s="19"/>
      <c r="N150" s="23"/>
      <c r="O150" s="23"/>
      <c r="P150" s="19"/>
      <c r="Q150" s="23"/>
      <c r="R150" s="19"/>
      <c r="S150" s="19"/>
      <c r="T150" s="19"/>
      <c r="U150" s="19">
        <f>J150</f>
        <v>30000</v>
      </c>
      <c r="V150" s="53"/>
      <c r="W150" s="55">
        <v>60000</v>
      </c>
      <c r="X150" s="55"/>
      <c r="Y150" s="53"/>
      <c r="Z150" s="53"/>
      <c r="AA150" s="65"/>
      <c r="AB150" s="65"/>
      <c r="AC150" s="65"/>
      <c r="AD150" s="65"/>
      <c r="AE150" s="65"/>
    </row>
    <row r="151" spans="1:31" x14ac:dyDescent="0.2">
      <c r="A151" s="4" t="s">
        <v>74</v>
      </c>
      <c r="B151" s="4"/>
      <c r="C151" s="4"/>
      <c r="D151" s="4"/>
      <c r="E151" s="4"/>
      <c r="F151" s="4"/>
      <c r="G151" s="4"/>
      <c r="H151" s="4">
        <f>1512000/2</f>
        <v>756000</v>
      </c>
      <c r="I151" s="4">
        <f>48000*1/2</f>
        <v>24000</v>
      </c>
      <c r="J151" s="4">
        <f>20000/2</f>
        <v>10000</v>
      </c>
      <c r="K151" s="4"/>
      <c r="L151" s="4"/>
      <c r="M151" s="4"/>
      <c r="N151" s="4"/>
      <c r="O151" s="8"/>
      <c r="P151" s="4"/>
      <c r="Q151" s="4"/>
      <c r="R151" s="4"/>
      <c r="S151" s="4"/>
      <c r="T151" s="4"/>
      <c r="U151" s="4">
        <f>H151+I151+J151</f>
        <v>790000</v>
      </c>
      <c r="V151" s="45"/>
      <c r="W151" s="55"/>
      <c r="X151" s="55"/>
      <c r="Y151" s="56"/>
      <c r="Z151" s="53"/>
      <c r="AA151" s="65"/>
      <c r="AB151" s="65"/>
      <c r="AC151" s="65"/>
      <c r="AD151" s="65"/>
      <c r="AE151" s="65"/>
    </row>
    <row r="152" spans="1:31" x14ac:dyDescent="0.2">
      <c r="A152" s="4" t="s">
        <v>75</v>
      </c>
      <c r="B152" s="4"/>
      <c r="C152" s="4"/>
      <c r="D152" s="4"/>
      <c r="E152" s="4"/>
      <c r="F152" s="4"/>
      <c r="G152" s="4"/>
      <c r="H152" s="4">
        <f>2710400/2</f>
        <v>1355200</v>
      </c>
      <c r="I152" s="4">
        <f>48000*9/2</f>
        <v>216000</v>
      </c>
      <c r="J152" s="4">
        <f t="shared" ref="J152:J158" si="9">20000/2</f>
        <v>10000</v>
      </c>
      <c r="K152" s="4"/>
      <c r="L152" s="4"/>
      <c r="M152" s="4"/>
      <c r="N152" s="4"/>
      <c r="O152" s="8"/>
      <c r="P152" s="4"/>
      <c r="Q152" s="4"/>
      <c r="R152" s="4"/>
      <c r="S152" s="4"/>
      <c r="T152" s="4"/>
      <c r="U152" s="4">
        <f t="shared" ref="U152:U158" si="10">H152+I152+J152</f>
        <v>1581200</v>
      </c>
      <c r="V152" s="45"/>
      <c r="W152" s="55"/>
      <c r="X152" s="55"/>
      <c r="Y152" s="56"/>
      <c r="Z152" s="53"/>
      <c r="AA152" s="65"/>
      <c r="AB152" s="65"/>
      <c r="AC152" s="65"/>
      <c r="AD152" s="65"/>
      <c r="AE152" s="65"/>
    </row>
    <row r="153" spans="1:31" x14ac:dyDescent="0.2">
      <c r="A153" s="4" t="s">
        <v>76</v>
      </c>
      <c r="B153" s="4"/>
      <c r="C153" s="4"/>
      <c r="D153" s="4"/>
      <c r="E153" s="4"/>
      <c r="F153" s="4"/>
      <c r="G153" s="4"/>
      <c r="H153" s="4">
        <f>1792000/2</f>
        <v>896000</v>
      </c>
      <c r="I153" s="4">
        <f>48000*3/2</f>
        <v>72000</v>
      </c>
      <c r="J153" s="4">
        <f t="shared" si="9"/>
        <v>10000</v>
      </c>
      <c r="K153" s="4"/>
      <c r="L153" s="4"/>
      <c r="M153" s="4"/>
      <c r="N153" s="4"/>
      <c r="O153" s="8"/>
      <c r="P153" s="4"/>
      <c r="Q153" s="4"/>
      <c r="R153" s="4"/>
      <c r="S153" s="4"/>
      <c r="T153" s="4"/>
      <c r="U153" s="4">
        <f t="shared" si="10"/>
        <v>978000</v>
      </c>
      <c r="V153" s="45"/>
      <c r="W153" s="55"/>
      <c r="X153" s="55"/>
      <c r="Y153" s="56"/>
      <c r="Z153" s="53"/>
      <c r="AA153" s="65"/>
      <c r="AB153" s="65"/>
      <c r="AC153" s="65"/>
      <c r="AD153" s="65"/>
      <c r="AE153" s="65"/>
    </row>
    <row r="154" spans="1:31" x14ac:dyDescent="0.2">
      <c r="A154" s="4" t="s">
        <v>77</v>
      </c>
      <c r="B154" s="4"/>
      <c r="C154" s="4"/>
      <c r="D154" s="4"/>
      <c r="E154" s="4"/>
      <c r="F154" s="4"/>
      <c r="G154" s="4"/>
      <c r="H154" s="4">
        <f>582400/2</f>
        <v>291200</v>
      </c>
      <c r="I154" s="4">
        <f>48000*2/2</f>
        <v>48000</v>
      </c>
      <c r="J154" s="4">
        <f t="shared" si="9"/>
        <v>10000</v>
      </c>
      <c r="K154" s="4"/>
      <c r="L154" s="4"/>
      <c r="M154" s="4"/>
      <c r="N154" s="4"/>
      <c r="O154" s="8"/>
      <c r="P154" s="4"/>
      <c r="Q154" s="4"/>
      <c r="R154" s="4"/>
      <c r="S154" s="4"/>
      <c r="T154" s="4"/>
      <c r="U154" s="4">
        <f t="shared" si="10"/>
        <v>349200</v>
      </c>
      <c r="V154" s="45"/>
      <c r="W154" s="55"/>
      <c r="X154" s="55"/>
      <c r="Y154" s="56"/>
      <c r="Z154" s="53"/>
      <c r="AA154" s="65"/>
      <c r="AB154" s="65"/>
      <c r="AC154" s="65"/>
      <c r="AD154" s="65"/>
      <c r="AE154" s="65"/>
    </row>
    <row r="155" spans="1:31" x14ac:dyDescent="0.2">
      <c r="A155" s="4" t="s">
        <v>78</v>
      </c>
      <c r="B155" s="4"/>
      <c r="C155" s="4"/>
      <c r="D155" s="4"/>
      <c r="E155" s="4"/>
      <c r="F155" s="4"/>
      <c r="G155" s="4"/>
      <c r="H155" s="4">
        <f>1691200/2</f>
        <v>845600</v>
      </c>
      <c r="I155" s="4">
        <f>48000*5/2</f>
        <v>120000</v>
      </c>
      <c r="J155" s="4">
        <f t="shared" si="9"/>
        <v>10000</v>
      </c>
      <c r="K155" s="4"/>
      <c r="L155" s="4"/>
      <c r="M155" s="4"/>
      <c r="N155" s="4"/>
      <c r="O155" s="8"/>
      <c r="P155" s="4"/>
      <c r="Q155" s="4"/>
      <c r="R155" s="4"/>
      <c r="S155" s="4"/>
      <c r="T155" s="4"/>
      <c r="U155" s="4">
        <f t="shared" si="10"/>
        <v>975600</v>
      </c>
      <c r="V155" s="45"/>
      <c r="W155" s="55"/>
      <c r="X155" s="55"/>
      <c r="Y155" s="56"/>
      <c r="Z155" s="53"/>
      <c r="AA155" s="65"/>
      <c r="AB155" s="65"/>
      <c r="AC155" s="65"/>
      <c r="AD155" s="65"/>
      <c r="AE155" s="65"/>
    </row>
    <row r="156" spans="1:31" x14ac:dyDescent="0.2">
      <c r="A156" s="4" t="s">
        <v>79</v>
      </c>
      <c r="B156" s="4"/>
      <c r="C156" s="4"/>
      <c r="D156" s="4"/>
      <c r="E156" s="4"/>
      <c r="F156" s="4"/>
      <c r="G156" s="4"/>
      <c r="H156" s="4">
        <f>1713600/2</f>
        <v>856800</v>
      </c>
      <c r="I156" s="4">
        <f>48000*4/2</f>
        <v>96000</v>
      </c>
      <c r="J156" s="4">
        <f t="shared" si="9"/>
        <v>10000</v>
      </c>
      <c r="K156" s="4"/>
      <c r="L156" s="4"/>
      <c r="M156" s="4"/>
      <c r="N156" s="4"/>
      <c r="O156" s="8"/>
      <c r="P156" s="4"/>
      <c r="Q156" s="4"/>
      <c r="R156" s="4"/>
      <c r="S156" s="4"/>
      <c r="T156" s="4"/>
      <c r="U156" s="4">
        <f t="shared" si="10"/>
        <v>962800</v>
      </c>
      <c r="V156" s="45"/>
      <c r="W156" s="55"/>
      <c r="X156" s="55"/>
      <c r="Y156" s="56"/>
      <c r="Z156" s="53"/>
      <c r="AA156" s="65"/>
      <c r="AB156" s="65"/>
      <c r="AC156" s="65"/>
      <c r="AD156" s="65"/>
      <c r="AE156" s="65"/>
    </row>
    <row r="157" spans="1:31" x14ac:dyDescent="0.2">
      <c r="A157" s="4" t="s">
        <v>80</v>
      </c>
      <c r="B157" s="4"/>
      <c r="C157" s="4"/>
      <c r="D157" s="4"/>
      <c r="E157" s="4"/>
      <c r="F157" s="4"/>
      <c r="G157" s="4"/>
      <c r="H157" s="4">
        <f>1926400/2</f>
        <v>963200</v>
      </c>
      <c r="I157" s="4">
        <f>48000*6/2</f>
        <v>144000</v>
      </c>
      <c r="J157" s="4">
        <f t="shared" si="9"/>
        <v>10000</v>
      </c>
      <c r="K157" s="4"/>
      <c r="L157" s="4"/>
      <c r="M157" s="4"/>
      <c r="N157" s="4"/>
      <c r="O157" s="8"/>
      <c r="P157" s="4"/>
      <c r="Q157" s="4"/>
      <c r="R157" s="4"/>
      <c r="S157" s="4"/>
      <c r="T157" s="4"/>
      <c r="U157" s="4">
        <f t="shared" si="10"/>
        <v>1117200</v>
      </c>
      <c r="V157" s="45"/>
      <c r="W157" s="55"/>
      <c r="X157" s="55"/>
      <c r="Y157" s="56"/>
      <c r="Z157" s="53"/>
      <c r="AA157" s="65"/>
      <c r="AB157" s="65"/>
      <c r="AC157" s="65"/>
      <c r="AD157" s="65"/>
      <c r="AE157" s="65"/>
    </row>
    <row r="158" spans="1:31" x14ac:dyDescent="0.2">
      <c r="A158" s="4" t="s">
        <v>81</v>
      </c>
      <c r="B158" s="4"/>
      <c r="C158" s="4"/>
      <c r="D158" s="4"/>
      <c r="E158" s="4"/>
      <c r="F158" s="4"/>
      <c r="G158" s="4"/>
      <c r="H158" s="4">
        <f>526400/2</f>
        <v>263200</v>
      </c>
      <c r="I158" s="4">
        <f>48000*1/2</f>
        <v>24000</v>
      </c>
      <c r="J158" s="4">
        <f t="shared" si="9"/>
        <v>10000</v>
      </c>
      <c r="K158" s="4"/>
      <c r="L158" s="4"/>
      <c r="M158" s="4"/>
      <c r="N158" s="4"/>
      <c r="O158" s="8"/>
      <c r="P158" s="4"/>
      <c r="Q158" s="4"/>
      <c r="R158" s="4"/>
      <c r="S158" s="4"/>
      <c r="T158" s="4"/>
      <c r="U158" s="4">
        <f t="shared" si="10"/>
        <v>297200</v>
      </c>
      <c r="V158" s="45"/>
      <c r="W158" s="55"/>
      <c r="X158" s="55"/>
      <c r="Y158" s="56"/>
      <c r="Z158" s="53"/>
      <c r="AA158" s="65"/>
      <c r="AB158" s="65"/>
      <c r="AC158" s="65"/>
      <c r="AD158" s="65"/>
      <c r="AE158" s="65"/>
    </row>
    <row r="159" spans="1:31" x14ac:dyDescent="0.2">
      <c r="J159" s="5"/>
      <c r="N159" s="10"/>
      <c r="O159" s="10"/>
      <c r="U159" s="10"/>
      <c r="V159" s="56">
        <f>SUM(V151:V158)</f>
        <v>0</v>
      </c>
      <c r="W159" s="53"/>
      <c r="X159" s="53"/>
      <c r="Y159" s="53"/>
      <c r="Z159" s="53"/>
      <c r="AA159" s="65"/>
      <c r="AB159" s="65"/>
      <c r="AC159" s="65"/>
      <c r="AD159" s="65"/>
      <c r="AE159" s="65"/>
    </row>
    <row r="160" spans="1:31" ht="18.75" x14ac:dyDescent="0.3">
      <c r="A160" s="33" t="s">
        <v>151</v>
      </c>
      <c r="B160" s="33"/>
      <c r="C160" s="33"/>
      <c r="D160" s="33"/>
      <c r="E160" s="33"/>
      <c r="F160" s="33"/>
      <c r="G160" s="33"/>
      <c r="H160" s="44"/>
      <c r="I160" s="33"/>
      <c r="J160" s="33"/>
      <c r="K160" s="33"/>
      <c r="L160" s="33"/>
      <c r="M160" s="33"/>
      <c r="N160" s="44"/>
      <c r="O160" s="33"/>
      <c r="P160" s="33"/>
      <c r="Q160" s="33"/>
      <c r="R160" s="33"/>
      <c r="S160" s="33"/>
      <c r="T160" s="33"/>
      <c r="U160" s="43"/>
      <c r="V160" s="53"/>
      <c r="W160" s="53"/>
      <c r="X160" s="53"/>
      <c r="Y160" s="53"/>
      <c r="Z160" s="53"/>
      <c r="AA160" s="65"/>
      <c r="AB160" s="65"/>
      <c r="AC160" s="65"/>
      <c r="AD160" s="65"/>
      <c r="AE160" s="65"/>
    </row>
    <row r="161" spans="1:31" ht="14.25" x14ac:dyDescent="0.25">
      <c r="A161" s="50" t="s">
        <v>174</v>
      </c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</row>
    <row r="162" spans="1:31" ht="14.25" x14ac:dyDescent="0.25">
      <c r="A162" s="50" t="s">
        <v>177</v>
      </c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</row>
    <row r="163" spans="1:31" ht="14.25" x14ac:dyDescent="0.25">
      <c r="A163" s="50" t="s">
        <v>175</v>
      </c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</row>
    <row r="164" spans="1:31" ht="14.25" x14ac:dyDescent="0.25">
      <c r="A164" s="50" t="s">
        <v>178</v>
      </c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</row>
    <row r="165" spans="1:31" ht="14.25" x14ac:dyDescent="0.25">
      <c r="A165" s="50" t="s">
        <v>180</v>
      </c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</row>
    <row r="166" spans="1:31" ht="14.25" x14ac:dyDescent="0.25">
      <c r="A166" s="50" t="s">
        <v>179</v>
      </c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</row>
    <row r="167" spans="1:31" ht="14.25" x14ac:dyDescent="0.25">
      <c r="A167" s="50" t="s">
        <v>176</v>
      </c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</row>
    <row r="168" spans="1:31" ht="14.25" x14ac:dyDescent="0.25">
      <c r="A168" s="50" t="s">
        <v>182</v>
      </c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</row>
    <row r="169" spans="1:31" ht="14.25" x14ac:dyDescent="0.25">
      <c r="A169" s="50" t="s">
        <v>181</v>
      </c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</row>
    <row r="170" spans="1:31" ht="14.25" x14ac:dyDescent="0.25">
      <c r="A170" s="50" t="s">
        <v>166</v>
      </c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</row>
    <row r="171" spans="1:31" ht="14.25" x14ac:dyDescent="0.25">
      <c r="A171" s="50" t="s">
        <v>167</v>
      </c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</row>
    <row r="172" spans="1:31" x14ac:dyDescent="0.2">
      <c r="A172" s="79"/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</row>
    <row r="173" spans="1:31" ht="17.25" x14ac:dyDescent="0.3">
      <c r="A173" s="94" t="s">
        <v>184</v>
      </c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</row>
    <row r="174" spans="1:31" x14ac:dyDescent="0.2">
      <c r="A174" s="79"/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</row>
    <row r="175" spans="1:31" x14ac:dyDescent="0.2"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</row>
    <row r="176" spans="1:31" x14ac:dyDescent="0.2"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</row>
    <row r="177" spans="1:31" x14ac:dyDescent="0.2"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</row>
    <row r="178" spans="1:31" x14ac:dyDescent="0.2"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</row>
    <row r="179" spans="1:31" x14ac:dyDescent="0.2"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</row>
    <row r="180" spans="1:31" x14ac:dyDescent="0.2"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</row>
    <row r="181" spans="1:31" x14ac:dyDescent="0.2"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</row>
    <row r="182" spans="1:31" x14ac:dyDescent="0.2"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</row>
    <row r="183" spans="1:31" x14ac:dyDescent="0.2">
      <c r="A183" s="6" t="s">
        <v>5</v>
      </c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</row>
    <row r="184" spans="1:31" x14ac:dyDescent="0.2">
      <c r="A184" s="14" t="s">
        <v>0</v>
      </c>
      <c r="B184" s="14" t="s">
        <v>46</v>
      </c>
      <c r="C184" s="14" t="s">
        <v>26</v>
      </c>
      <c r="D184" s="14" t="s">
        <v>46</v>
      </c>
      <c r="E184" s="14" t="s">
        <v>28</v>
      </c>
      <c r="F184" s="14" t="s">
        <v>43</v>
      </c>
      <c r="G184" s="14" t="s">
        <v>43</v>
      </c>
      <c r="H184" s="14" t="s">
        <v>14</v>
      </c>
      <c r="I184" s="14" t="s">
        <v>138</v>
      </c>
      <c r="J184" s="14" t="s">
        <v>30</v>
      </c>
      <c r="K184" s="14" t="s">
        <v>135</v>
      </c>
      <c r="L184" s="14" t="s">
        <v>13</v>
      </c>
      <c r="M184" s="14" t="s">
        <v>13</v>
      </c>
      <c r="N184" s="14" t="s">
        <v>31</v>
      </c>
      <c r="O184" s="14" t="s">
        <v>33</v>
      </c>
      <c r="P184" s="14" t="s">
        <v>33</v>
      </c>
      <c r="Q184" s="14" t="s">
        <v>145</v>
      </c>
      <c r="R184" s="14" t="s">
        <v>35</v>
      </c>
      <c r="S184" s="34" t="s">
        <v>37</v>
      </c>
      <c r="T184" s="14" t="s">
        <v>39</v>
      </c>
      <c r="U184" s="14" t="s">
        <v>41</v>
      </c>
      <c r="V184" s="53"/>
      <c r="W184" s="52" t="s">
        <v>30</v>
      </c>
      <c r="X184" s="52" t="s">
        <v>31</v>
      </c>
      <c r="Y184" s="53"/>
      <c r="Z184" s="53"/>
      <c r="AA184" s="65"/>
      <c r="AB184" s="65"/>
      <c r="AC184" s="65"/>
      <c r="AD184" s="65"/>
      <c r="AE184" s="65"/>
    </row>
    <row r="185" spans="1:31" ht="13.5" thickBot="1" x14ac:dyDescent="0.25">
      <c r="A185" s="18"/>
      <c r="B185" s="18" t="s">
        <v>48</v>
      </c>
      <c r="C185" s="18" t="s">
        <v>27</v>
      </c>
      <c r="D185" s="18" t="s">
        <v>47</v>
      </c>
      <c r="E185" s="18" t="s">
        <v>29</v>
      </c>
      <c r="F185" s="18" t="s">
        <v>44</v>
      </c>
      <c r="G185" s="18" t="s">
        <v>45</v>
      </c>
      <c r="H185" s="21" t="s">
        <v>137</v>
      </c>
      <c r="I185" s="18" t="s">
        <v>139</v>
      </c>
      <c r="J185" s="18" t="s">
        <v>146</v>
      </c>
      <c r="K185" s="18" t="s">
        <v>136</v>
      </c>
      <c r="L185" s="18" t="s">
        <v>134</v>
      </c>
      <c r="M185" s="18" t="s">
        <v>160</v>
      </c>
      <c r="N185" s="18" t="s">
        <v>32</v>
      </c>
      <c r="O185" s="18" t="s">
        <v>34</v>
      </c>
      <c r="P185" s="18" t="s">
        <v>133</v>
      </c>
      <c r="Q185" s="42" t="s">
        <v>144</v>
      </c>
      <c r="R185" s="18" t="s">
        <v>36</v>
      </c>
      <c r="S185" s="35" t="s">
        <v>38</v>
      </c>
      <c r="T185" s="18" t="s">
        <v>40</v>
      </c>
      <c r="U185" s="18" t="s">
        <v>42</v>
      </c>
      <c r="V185" s="53"/>
      <c r="W185" s="52" t="s">
        <v>146</v>
      </c>
      <c r="X185" s="52" t="s">
        <v>32</v>
      </c>
      <c r="Y185" s="53"/>
      <c r="Z185" s="53"/>
      <c r="AA185" s="65"/>
      <c r="AB185" s="65"/>
      <c r="AC185" s="65"/>
      <c r="AD185" s="65"/>
      <c r="AE185" s="65"/>
    </row>
    <row r="186" spans="1:31" ht="13.5" thickBot="1" x14ac:dyDescent="0.25">
      <c r="A186" s="24" t="s">
        <v>20</v>
      </c>
      <c r="B186" s="25"/>
      <c r="C186" s="25"/>
      <c r="D186" s="25"/>
      <c r="E186" s="25"/>
      <c r="F186" s="25"/>
      <c r="G186" s="25"/>
      <c r="H186" s="27">
        <f>H188+H189+H190+H191+H192+H193+H194+H195+H196+H197+H198+H199</f>
        <v>6641600</v>
      </c>
      <c r="I186" s="26">
        <f>I188+I189+I190+I191+I192+I193+I194+I195+I196+I197+I198+I199</f>
        <v>1080000</v>
      </c>
      <c r="J186" s="27">
        <f>J187+J188+J189+J190+J191+J192+J193+J194+J195+J196+J197+J198+J199</f>
        <v>150000</v>
      </c>
      <c r="K186" s="25"/>
      <c r="L186" s="25"/>
      <c r="M186" s="25"/>
      <c r="N186" s="27"/>
      <c r="O186" s="27"/>
      <c r="P186" s="25"/>
      <c r="Q186" s="29"/>
      <c r="R186" s="25"/>
      <c r="S186" s="25"/>
      <c r="T186" s="25"/>
      <c r="U186" s="31">
        <f>H186+I186+J186+N186+O186</f>
        <v>7871600</v>
      </c>
      <c r="V186" s="53"/>
      <c r="W186" s="54">
        <f>W187+W188+W189+W190+W191+W192+W193+W194+W195+W196+W197+W198+W199</f>
        <v>60000</v>
      </c>
      <c r="X186" s="54">
        <f>X188+X189+X190+X191+X192+X193+X194+X195+X196+X197+X198+X199</f>
        <v>0</v>
      </c>
      <c r="Y186" s="53"/>
      <c r="Z186" s="53"/>
      <c r="AA186" s="65"/>
      <c r="AB186" s="65"/>
      <c r="AC186" s="65"/>
      <c r="AD186" s="65"/>
      <c r="AE186" s="65"/>
    </row>
    <row r="187" spans="1:31" x14ac:dyDescent="0.2">
      <c r="A187" s="19" t="s">
        <v>147</v>
      </c>
      <c r="B187" s="19"/>
      <c r="C187" s="19"/>
      <c r="D187" s="19"/>
      <c r="E187" s="19"/>
      <c r="F187" s="19"/>
      <c r="G187" s="19"/>
      <c r="H187" s="23"/>
      <c r="I187" s="36"/>
      <c r="J187" s="19">
        <f>60000/2</f>
        <v>30000</v>
      </c>
      <c r="K187" s="19"/>
      <c r="L187" s="19"/>
      <c r="M187" s="19"/>
      <c r="N187" s="23"/>
      <c r="O187" s="23"/>
      <c r="P187" s="19"/>
      <c r="Q187" s="23"/>
      <c r="R187" s="19"/>
      <c r="S187" s="19"/>
      <c r="T187" s="19"/>
      <c r="U187" s="39">
        <f t="shared" ref="U187" si="11">H187+I187+J187+N187+O187</f>
        <v>30000</v>
      </c>
      <c r="V187" s="53"/>
      <c r="W187" s="55">
        <v>60000</v>
      </c>
      <c r="X187" s="55"/>
      <c r="Y187" s="53"/>
      <c r="Z187" s="53"/>
      <c r="AA187" s="65"/>
      <c r="AB187" s="65"/>
      <c r="AC187" s="65"/>
      <c r="AD187" s="65"/>
      <c r="AE187" s="65"/>
    </row>
    <row r="188" spans="1:31" x14ac:dyDescent="0.2">
      <c r="A188" s="4" t="s">
        <v>82</v>
      </c>
      <c r="B188" s="4"/>
      <c r="C188" s="4"/>
      <c r="D188" s="4"/>
      <c r="E188" s="4"/>
      <c r="F188" s="4"/>
      <c r="G188" s="4"/>
      <c r="H188" s="4">
        <f>1220800/2</f>
        <v>610400</v>
      </c>
      <c r="I188" s="4">
        <f>48000*6/2</f>
        <v>144000</v>
      </c>
      <c r="J188" s="4">
        <f>20000/2</f>
        <v>10000</v>
      </c>
      <c r="K188" s="4"/>
      <c r="L188" s="4"/>
      <c r="M188" s="4"/>
      <c r="N188" s="4"/>
      <c r="O188" s="8"/>
      <c r="P188" s="4"/>
      <c r="Q188" s="4"/>
      <c r="R188" s="4"/>
      <c r="S188" s="4"/>
      <c r="T188" s="4"/>
      <c r="U188" s="40">
        <f>H188+I188+J188</f>
        <v>764400</v>
      </c>
      <c r="V188" s="45"/>
      <c r="W188" s="55"/>
      <c r="X188" s="55"/>
      <c r="Y188" s="53"/>
      <c r="Z188" s="53"/>
      <c r="AA188" s="65"/>
      <c r="AB188" s="65"/>
      <c r="AC188" s="65"/>
      <c r="AD188" s="65"/>
      <c r="AE188" s="65"/>
    </row>
    <row r="189" spans="1:31" x14ac:dyDescent="0.2">
      <c r="A189" s="4" t="s">
        <v>83</v>
      </c>
      <c r="B189" s="4"/>
      <c r="C189" s="4"/>
      <c r="D189" s="4"/>
      <c r="E189" s="4"/>
      <c r="F189" s="4"/>
      <c r="G189" s="4"/>
      <c r="H189" s="4">
        <f>1680000/2</f>
        <v>840000</v>
      </c>
      <c r="I189" s="4">
        <f>48000*9/2</f>
        <v>216000</v>
      </c>
      <c r="J189" s="4">
        <f t="shared" ref="J189:J199" si="12">20000/2</f>
        <v>10000</v>
      </c>
      <c r="K189" s="4"/>
      <c r="L189" s="4"/>
      <c r="M189" s="4"/>
      <c r="N189" s="4"/>
      <c r="O189" s="8"/>
      <c r="P189" s="4"/>
      <c r="Q189" s="4"/>
      <c r="R189" s="4"/>
      <c r="S189" s="4"/>
      <c r="T189" s="4"/>
      <c r="U189" s="40">
        <f t="shared" ref="U189:U199" si="13">H189+I189+J189</f>
        <v>1066000</v>
      </c>
      <c r="V189" s="45"/>
      <c r="W189" s="55"/>
      <c r="X189" s="55"/>
      <c r="Y189" s="53"/>
      <c r="Z189" s="53"/>
      <c r="AA189" s="65"/>
      <c r="AB189" s="65"/>
      <c r="AC189" s="65"/>
      <c r="AD189" s="65"/>
      <c r="AE189" s="65"/>
    </row>
    <row r="190" spans="1:31" x14ac:dyDescent="0.2">
      <c r="A190" s="4" t="s">
        <v>84</v>
      </c>
      <c r="B190" s="4"/>
      <c r="C190" s="4"/>
      <c r="D190" s="4"/>
      <c r="E190" s="4"/>
      <c r="F190" s="4"/>
      <c r="G190" s="4"/>
      <c r="H190" s="4">
        <f>985600/2</f>
        <v>492800</v>
      </c>
      <c r="I190" s="4">
        <f>48000*3/2</f>
        <v>72000</v>
      </c>
      <c r="J190" s="4">
        <f t="shared" si="12"/>
        <v>10000</v>
      </c>
      <c r="K190" s="4"/>
      <c r="L190" s="4"/>
      <c r="M190" s="4"/>
      <c r="N190" s="4"/>
      <c r="O190" s="8"/>
      <c r="P190" s="4"/>
      <c r="Q190" s="4"/>
      <c r="R190" s="4"/>
      <c r="S190" s="4"/>
      <c r="T190" s="4"/>
      <c r="U190" s="40">
        <f t="shared" si="13"/>
        <v>574800</v>
      </c>
      <c r="V190" s="45"/>
      <c r="W190" s="55"/>
      <c r="X190" s="55"/>
      <c r="Y190" s="53"/>
      <c r="Z190" s="53"/>
      <c r="AA190" s="65"/>
      <c r="AB190" s="65"/>
      <c r="AC190" s="65"/>
      <c r="AD190" s="65"/>
      <c r="AE190" s="65"/>
    </row>
    <row r="191" spans="1:31" x14ac:dyDescent="0.2">
      <c r="A191" s="4" t="s">
        <v>85</v>
      </c>
      <c r="B191" s="4"/>
      <c r="C191" s="4"/>
      <c r="D191" s="4"/>
      <c r="E191" s="4"/>
      <c r="F191" s="4"/>
      <c r="G191" s="4"/>
      <c r="H191" s="4">
        <f>683200/2</f>
        <v>341600</v>
      </c>
      <c r="I191" s="4">
        <f>48000*1/2</f>
        <v>24000</v>
      </c>
      <c r="J191" s="4">
        <f t="shared" si="12"/>
        <v>10000</v>
      </c>
      <c r="K191" s="4"/>
      <c r="L191" s="4"/>
      <c r="M191" s="4"/>
      <c r="N191" s="4"/>
      <c r="O191" s="8"/>
      <c r="P191" s="4"/>
      <c r="Q191" s="4"/>
      <c r="R191" s="4"/>
      <c r="S191" s="4"/>
      <c r="T191" s="4"/>
      <c r="U191" s="40">
        <f t="shared" si="13"/>
        <v>375600</v>
      </c>
      <c r="V191" s="45"/>
      <c r="W191" s="55"/>
      <c r="X191" s="55"/>
      <c r="Y191" s="53"/>
      <c r="Z191" s="53"/>
      <c r="AA191" s="65"/>
      <c r="AB191" s="65"/>
      <c r="AC191" s="65"/>
      <c r="AD191" s="65"/>
      <c r="AE191" s="65"/>
    </row>
    <row r="192" spans="1:31" x14ac:dyDescent="0.2">
      <c r="A192" s="4" t="s">
        <v>86</v>
      </c>
      <c r="B192" s="4"/>
      <c r="C192" s="4"/>
      <c r="D192" s="4"/>
      <c r="E192" s="4"/>
      <c r="F192" s="4"/>
      <c r="G192" s="4"/>
      <c r="H192" s="4">
        <f>1232000/2</f>
        <v>616000</v>
      </c>
      <c r="I192" s="4">
        <f>48000*5/2</f>
        <v>120000</v>
      </c>
      <c r="J192" s="4">
        <f t="shared" si="12"/>
        <v>10000</v>
      </c>
      <c r="K192" s="4"/>
      <c r="L192" s="4"/>
      <c r="M192" s="4"/>
      <c r="N192" s="4"/>
      <c r="O192" s="8"/>
      <c r="P192" s="4"/>
      <c r="Q192" s="4"/>
      <c r="R192" s="4"/>
      <c r="S192" s="4"/>
      <c r="T192" s="4"/>
      <c r="U192" s="40">
        <f t="shared" si="13"/>
        <v>746000</v>
      </c>
      <c r="V192" s="45"/>
      <c r="W192" s="55"/>
      <c r="X192" s="55"/>
      <c r="Y192" s="53"/>
      <c r="Z192" s="53"/>
      <c r="AA192" s="65"/>
      <c r="AB192" s="65"/>
      <c r="AC192" s="65"/>
      <c r="AD192" s="65"/>
      <c r="AE192" s="65"/>
    </row>
    <row r="193" spans="1:31" x14ac:dyDescent="0.2">
      <c r="A193" s="4" t="s">
        <v>87</v>
      </c>
      <c r="B193" s="4"/>
      <c r="C193" s="4"/>
      <c r="D193" s="4"/>
      <c r="E193" s="4"/>
      <c r="F193" s="4"/>
      <c r="G193" s="4"/>
      <c r="H193" s="4">
        <f>716800/2</f>
        <v>358400</v>
      </c>
      <c r="I193" s="4">
        <f>48000*1/2</f>
        <v>24000</v>
      </c>
      <c r="J193" s="4">
        <f t="shared" si="12"/>
        <v>10000</v>
      </c>
      <c r="K193" s="4"/>
      <c r="L193" s="4"/>
      <c r="M193" s="4"/>
      <c r="N193" s="4"/>
      <c r="O193" s="8"/>
      <c r="P193" s="4"/>
      <c r="Q193" s="4"/>
      <c r="R193" s="4"/>
      <c r="S193" s="4"/>
      <c r="T193" s="4"/>
      <c r="U193" s="40">
        <f t="shared" si="13"/>
        <v>392400</v>
      </c>
      <c r="V193" s="45"/>
      <c r="W193" s="55"/>
      <c r="X193" s="55"/>
      <c r="Y193" s="53"/>
      <c r="Z193" s="53"/>
      <c r="AA193" s="65"/>
      <c r="AB193" s="65"/>
      <c r="AC193" s="65"/>
      <c r="AD193" s="65"/>
      <c r="AE193" s="65"/>
    </row>
    <row r="194" spans="1:31" x14ac:dyDescent="0.2">
      <c r="A194" s="4" t="s">
        <v>88</v>
      </c>
      <c r="B194" s="4"/>
      <c r="C194" s="4"/>
      <c r="D194" s="4"/>
      <c r="E194" s="4"/>
      <c r="F194" s="4"/>
      <c r="G194" s="4"/>
      <c r="H194" s="4">
        <f>1691200/2</f>
        <v>845600</v>
      </c>
      <c r="I194" s="4">
        <f>48000*5/2</f>
        <v>120000</v>
      </c>
      <c r="J194" s="4">
        <f t="shared" si="12"/>
        <v>10000</v>
      </c>
      <c r="K194" s="4"/>
      <c r="L194" s="4"/>
      <c r="M194" s="4"/>
      <c r="N194" s="4"/>
      <c r="O194" s="8"/>
      <c r="P194" s="4"/>
      <c r="Q194" s="4"/>
      <c r="R194" s="4"/>
      <c r="S194" s="4"/>
      <c r="T194" s="4"/>
      <c r="U194" s="40">
        <f t="shared" si="13"/>
        <v>975600</v>
      </c>
      <c r="V194" s="45"/>
      <c r="W194" s="55"/>
      <c r="X194" s="55"/>
      <c r="Y194" s="53"/>
      <c r="Z194" s="53"/>
      <c r="AA194" s="65"/>
      <c r="AB194" s="65"/>
      <c r="AC194" s="65"/>
      <c r="AD194" s="65"/>
      <c r="AE194" s="65"/>
    </row>
    <row r="195" spans="1:31" x14ac:dyDescent="0.2">
      <c r="A195" s="4" t="s">
        <v>89</v>
      </c>
      <c r="B195" s="4"/>
      <c r="C195" s="4"/>
      <c r="D195" s="4"/>
      <c r="E195" s="4"/>
      <c r="F195" s="4"/>
      <c r="G195" s="4"/>
      <c r="H195" s="4">
        <f>1064000/2</f>
        <v>532000</v>
      </c>
      <c r="I195" s="4">
        <f>48000*3/2</f>
        <v>72000</v>
      </c>
      <c r="J195" s="4">
        <f t="shared" si="12"/>
        <v>10000</v>
      </c>
      <c r="K195" s="4"/>
      <c r="L195" s="4"/>
      <c r="M195" s="4"/>
      <c r="N195" s="4"/>
      <c r="O195" s="8"/>
      <c r="P195" s="4"/>
      <c r="Q195" s="4"/>
      <c r="R195" s="4"/>
      <c r="S195" s="4"/>
      <c r="T195" s="4"/>
      <c r="U195" s="40">
        <f t="shared" si="13"/>
        <v>614000</v>
      </c>
      <c r="V195" s="45"/>
      <c r="W195" s="55"/>
      <c r="X195" s="55"/>
      <c r="Y195" s="53"/>
      <c r="Z195" s="53"/>
      <c r="AA195" s="65"/>
      <c r="AB195" s="65"/>
      <c r="AC195" s="65"/>
      <c r="AD195" s="65"/>
      <c r="AE195" s="65"/>
    </row>
    <row r="196" spans="1:31" x14ac:dyDescent="0.2">
      <c r="A196" s="4" t="s">
        <v>90</v>
      </c>
      <c r="B196" s="4"/>
      <c r="C196" s="4"/>
      <c r="D196" s="4"/>
      <c r="E196" s="4"/>
      <c r="F196" s="4"/>
      <c r="G196" s="4"/>
      <c r="H196" s="4">
        <f>1601600/2</f>
        <v>800800</v>
      </c>
      <c r="I196" s="4">
        <f>48000*3/2</f>
        <v>72000</v>
      </c>
      <c r="J196" s="4">
        <f t="shared" si="12"/>
        <v>10000</v>
      </c>
      <c r="K196" s="4"/>
      <c r="L196" s="4"/>
      <c r="M196" s="4"/>
      <c r="N196" s="4"/>
      <c r="O196" s="8"/>
      <c r="P196" s="4"/>
      <c r="Q196" s="4"/>
      <c r="R196" s="4"/>
      <c r="S196" s="4"/>
      <c r="T196" s="4"/>
      <c r="U196" s="40">
        <f t="shared" si="13"/>
        <v>882800</v>
      </c>
      <c r="V196" s="45"/>
      <c r="W196" s="55"/>
      <c r="X196" s="55"/>
      <c r="Y196" s="53"/>
      <c r="Z196" s="53"/>
      <c r="AA196" s="65"/>
      <c r="AB196" s="65"/>
      <c r="AC196" s="65"/>
      <c r="AD196" s="65"/>
      <c r="AE196" s="65"/>
    </row>
    <row r="197" spans="1:31" x14ac:dyDescent="0.2">
      <c r="A197" s="4" t="s">
        <v>91</v>
      </c>
      <c r="B197" s="4"/>
      <c r="C197" s="4"/>
      <c r="D197" s="4"/>
      <c r="E197" s="4"/>
      <c r="F197" s="4"/>
      <c r="G197" s="4"/>
      <c r="H197" s="4">
        <f>750400/2</f>
        <v>375200</v>
      </c>
      <c r="I197" s="4">
        <f>48000*2/2</f>
        <v>48000</v>
      </c>
      <c r="J197" s="4">
        <f t="shared" si="12"/>
        <v>10000</v>
      </c>
      <c r="K197" s="4"/>
      <c r="L197" s="4"/>
      <c r="M197" s="4"/>
      <c r="N197" s="4"/>
      <c r="O197" s="8"/>
      <c r="P197" s="4"/>
      <c r="Q197" s="4"/>
      <c r="R197" s="4"/>
      <c r="S197" s="4"/>
      <c r="T197" s="4"/>
      <c r="U197" s="40">
        <f t="shared" si="13"/>
        <v>433200</v>
      </c>
      <c r="V197" s="45"/>
      <c r="W197" s="55"/>
      <c r="X197" s="55"/>
      <c r="Y197" s="53"/>
      <c r="Z197" s="53"/>
      <c r="AA197" s="65"/>
      <c r="AB197" s="65"/>
      <c r="AC197" s="65"/>
      <c r="AD197" s="65"/>
      <c r="AE197" s="65"/>
    </row>
    <row r="198" spans="1:31" x14ac:dyDescent="0.2">
      <c r="A198" s="4" t="s">
        <v>92</v>
      </c>
      <c r="B198" s="4"/>
      <c r="C198" s="4"/>
      <c r="D198" s="4"/>
      <c r="E198" s="4"/>
      <c r="F198" s="4"/>
      <c r="G198" s="4"/>
      <c r="H198" s="4">
        <f>369600/2</f>
        <v>184800</v>
      </c>
      <c r="I198" s="4">
        <f>48000*2/2</f>
        <v>48000</v>
      </c>
      <c r="J198" s="4">
        <f t="shared" si="12"/>
        <v>10000</v>
      </c>
      <c r="K198" s="4"/>
      <c r="L198" s="4"/>
      <c r="M198" s="4"/>
      <c r="N198" s="4"/>
      <c r="O198" s="8"/>
      <c r="P198" s="4"/>
      <c r="Q198" s="4"/>
      <c r="R198" s="4"/>
      <c r="S198" s="4"/>
      <c r="T198" s="4"/>
      <c r="U198" s="40">
        <f t="shared" si="13"/>
        <v>242800</v>
      </c>
      <c r="V198" s="45"/>
      <c r="W198" s="55"/>
      <c r="X198" s="55"/>
      <c r="Y198" s="53"/>
      <c r="Z198" s="53"/>
      <c r="AA198" s="65"/>
      <c r="AB198" s="65"/>
      <c r="AC198" s="65"/>
      <c r="AD198" s="65"/>
      <c r="AE198" s="65"/>
    </row>
    <row r="199" spans="1:31" x14ac:dyDescent="0.2">
      <c r="A199" s="4" t="s">
        <v>93</v>
      </c>
      <c r="B199" s="4"/>
      <c r="C199" s="4"/>
      <c r="D199" s="4"/>
      <c r="E199" s="4"/>
      <c r="F199" s="4"/>
      <c r="G199" s="4"/>
      <c r="H199" s="4">
        <f>1288000/2</f>
        <v>644000</v>
      </c>
      <c r="I199" s="4">
        <f>48000*5/2</f>
        <v>120000</v>
      </c>
      <c r="J199" s="4">
        <f t="shared" si="12"/>
        <v>10000</v>
      </c>
      <c r="K199" s="4"/>
      <c r="L199" s="4"/>
      <c r="M199" s="4"/>
      <c r="N199" s="4"/>
      <c r="O199" s="8"/>
      <c r="P199" s="4"/>
      <c r="Q199" s="4"/>
      <c r="R199" s="4"/>
      <c r="S199" s="4"/>
      <c r="T199" s="4"/>
      <c r="U199" s="40">
        <f t="shared" si="13"/>
        <v>774000</v>
      </c>
      <c r="V199" s="45"/>
      <c r="W199" s="55"/>
      <c r="X199" s="55"/>
      <c r="Y199" s="53"/>
      <c r="Z199" s="53"/>
      <c r="AA199" s="65"/>
      <c r="AB199" s="65"/>
      <c r="AC199" s="65"/>
      <c r="AD199" s="65"/>
      <c r="AE199" s="65"/>
    </row>
    <row r="200" spans="1:31" ht="18.75" x14ac:dyDescent="0.3">
      <c r="A200" s="33" t="s">
        <v>151</v>
      </c>
      <c r="B200" s="33"/>
      <c r="C200" s="33"/>
      <c r="D200" s="33"/>
      <c r="E200" s="33"/>
      <c r="F200" s="33"/>
      <c r="G200" s="33"/>
      <c r="H200" s="44"/>
      <c r="I200" s="33"/>
      <c r="J200" s="33"/>
      <c r="K200" s="33"/>
      <c r="L200" s="33"/>
      <c r="M200" s="33"/>
      <c r="N200" s="44"/>
      <c r="O200" s="33"/>
      <c r="P200" s="33"/>
      <c r="Q200" s="33"/>
      <c r="R200" s="33"/>
      <c r="S200" s="33"/>
      <c r="T200" s="33"/>
      <c r="U200" s="43"/>
      <c r="V200" s="56">
        <f>SUM(V188:V199)</f>
        <v>0</v>
      </c>
      <c r="W200" s="53"/>
      <c r="X200" s="53"/>
      <c r="Y200" s="53"/>
      <c r="Z200" s="53"/>
      <c r="AA200" s="65"/>
      <c r="AB200" s="65"/>
      <c r="AC200" s="65"/>
      <c r="AD200" s="65"/>
      <c r="AE200" s="65"/>
    </row>
    <row r="201" spans="1:31" ht="14.25" x14ac:dyDescent="0.25">
      <c r="A201" s="50" t="s">
        <v>174</v>
      </c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</row>
    <row r="202" spans="1:31" ht="14.25" x14ac:dyDescent="0.25">
      <c r="A202" s="50" t="s">
        <v>177</v>
      </c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</row>
    <row r="203" spans="1:31" ht="14.25" x14ac:dyDescent="0.25">
      <c r="A203" s="50" t="s">
        <v>175</v>
      </c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</row>
    <row r="204" spans="1:31" ht="14.25" x14ac:dyDescent="0.25">
      <c r="A204" s="50" t="s">
        <v>178</v>
      </c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</row>
    <row r="205" spans="1:31" ht="14.25" x14ac:dyDescent="0.25">
      <c r="A205" s="50" t="s">
        <v>180</v>
      </c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</row>
    <row r="206" spans="1:31" ht="14.25" x14ac:dyDescent="0.25">
      <c r="A206" s="50" t="s">
        <v>179</v>
      </c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</row>
    <row r="207" spans="1:31" ht="14.25" x14ac:dyDescent="0.25">
      <c r="A207" s="50" t="s">
        <v>176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</row>
    <row r="208" spans="1:31" ht="14.25" x14ac:dyDescent="0.25">
      <c r="A208" s="50" t="s">
        <v>182</v>
      </c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</row>
    <row r="209" spans="1:31" ht="14.25" x14ac:dyDescent="0.25">
      <c r="A209" s="50" t="s">
        <v>181</v>
      </c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</row>
    <row r="210" spans="1:31" ht="14.25" x14ac:dyDescent="0.25">
      <c r="A210" s="50" t="s">
        <v>166</v>
      </c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</row>
    <row r="211" spans="1:31" ht="14.25" x14ac:dyDescent="0.25">
      <c r="A211" s="50" t="s">
        <v>167</v>
      </c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</row>
    <row r="212" spans="1:31" ht="14.25" x14ac:dyDescent="0.25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0"/>
      <c r="O212" s="50"/>
      <c r="P212" s="50"/>
      <c r="Q212" s="50"/>
      <c r="R212" s="50"/>
      <c r="S212" s="50"/>
      <c r="T212" s="50"/>
      <c r="U212" s="50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</row>
    <row r="213" spans="1:31" ht="17.25" x14ac:dyDescent="0.3">
      <c r="A213" s="94" t="s">
        <v>184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0"/>
      <c r="O213" s="50"/>
      <c r="P213" s="50"/>
      <c r="Q213" s="50"/>
      <c r="R213" s="50"/>
      <c r="S213" s="50"/>
      <c r="T213" s="50"/>
      <c r="U213" s="50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</row>
    <row r="214" spans="1:31" ht="14.25" x14ac:dyDescent="0.25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0"/>
      <c r="O214" s="50"/>
      <c r="P214" s="50"/>
      <c r="Q214" s="50"/>
      <c r="R214" s="50"/>
      <c r="S214" s="50"/>
      <c r="T214" s="50"/>
      <c r="U214" s="50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</row>
    <row r="215" spans="1:31" ht="14.25" x14ac:dyDescent="0.25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0"/>
      <c r="O215" s="50"/>
      <c r="P215" s="50"/>
      <c r="Q215" s="50"/>
      <c r="R215" s="50"/>
      <c r="S215" s="50"/>
      <c r="T215" s="50"/>
      <c r="U215" s="50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</row>
    <row r="216" spans="1:31" ht="14.25" x14ac:dyDescent="0.2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0"/>
      <c r="O216" s="50"/>
      <c r="P216" s="50"/>
      <c r="Q216" s="50"/>
      <c r="R216" s="50"/>
      <c r="S216" s="50"/>
      <c r="T216" s="50"/>
      <c r="U216" s="50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</row>
    <row r="217" spans="1:31" ht="14.25" x14ac:dyDescent="0.25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0"/>
      <c r="O217" s="50"/>
      <c r="P217" s="50"/>
      <c r="Q217" s="50"/>
      <c r="R217" s="50"/>
      <c r="S217" s="50"/>
      <c r="T217" s="50"/>
      <c r="U217" s="50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</row>
    <row r="218" spans="1:31" ht="14.25" x14ac:dyDescent="0.25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0"/>
      <c r="O218" s="50"/>
      <c r="P218" s="50"/>
      <c r="Q218" s="50"/>
      <c r="R218" s="50"/>
      <c r="S218" s="50"/>
      <c r="T218" s="50"/>
      <c r="U218" s="50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</row>
    <row r="219" spans="1:31" x14ac:dyDescent="0.2"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</row>
    <row r="220" spans="1:31" x14ac:dyDescent="0.2">
      <c r="A220" s="6" t="s">
        <v>6</v>
      </c>
      <c r="V220" s="53"/>
      <c r="W220" s="53"/>
      <c r="X220" s="53"/>
      <c r="Y220" s="53"/>
      <c r="Z220" s="65"/>
      <c r="AA220" s="65"/>
      <c r="AB220" s="65"/>
      <c r="AC220" s="65"/>
      <c r="AD220" s="65"/>
      <c r="AE220" s="65"/>
    </row>
    <row r="221" spans="1:31" x14ac:dyDescent="0.2">
      <c r="A221" s="14" t="s">
        <v>0</v>
      </c>
      <c r="B221" s="14" t="s">
        <v>46</v>
      </c>
      <c r="C221" s="14" t="s">
        <v>26</v>
      </c>
      <c r="D221" s="14" t="s">
        <v>46</v>
      </c>
      <c r="E221" s="14" t="s">
        <v>28</v>
      </c>
      <c r="F221" s="14" t="s">
        <v>43</v>
      </c>
      <c r="G221" s="14" t="s">
        <v>43</v>
      </c>
      <c r="H221" s="14" t="s">
        <v>14</v>
      </c>
      <c r="I221" s="14" t="s">
        <v>138</v>
      </c>
      <c r="J221" s="14" t="s">
        <v>30</v>
      </c>
      <c r="K221" s="14" t="s">
        <v>135</v>
      </c>
      <c r="L221" s="14" t="s">
        <v>13</v>
      </c>
      <c r="M221" s="14" t="s">
        <v>13</v>
      </c>
      <c r="N221" s="14" t="s">
        <v>31</v>
      </c>
      <c r="O221" s="14" t="s">
        <v>33</v>
      </c>
      <c r="P221" s="14" t="s">
        <v>33</v>
      </c>
      <c r="Q221" s="14" t="s">
        <v>145</v>
      </c>
      <c r="R221" s="14" t="s">
        <v>35</v>
      </c>
      <c r="S221" s="34" t="s">
        <v>37</v>
      </c>
      <c r="T221" s="14" t="s">
        <v>39</v>
      </c>
      <c r="U221" s="14" t="s">
        <v>41</v>
      </c>
      <c r="V221" s="53"/>
      <c r="W221" s="52" t="s">
        <v>30</v>
      </c>
      <c r="X221" s="52" t="s">
        <v>31</v>
      </c>
      <c r="Y221" s="53"/>
      <c r="Z221" s="65"/>
      <c r="AA221" s="65"/>
      <c r="AB221" s="65"/>
      <c r="AC221" s="65"/>
      <c r="AD221" s="65"/>
      <c r="AE221" s="65"/>
    </row>
    <row r="222" spans="1:31" ht="13.5" thickBot="1" x14ac:dyDescent="0.25">
      <c r="A222" s="18"/>
      <c r="B222" s="18" t="s">
        <v>48</v>
      </c>
      <c r="C222" s="18" t="s">
        <v>27</v>
      </c>
      <c r="D222" s="18" t="s">
        <v>47</v>
      </c>
      <c r="E222" s="18" t="s">
        <v>29</v>
      </c>
      <c r="F222" s="18" t="s">
        <v>44</v>
      </c>
      <c r="G222" s="18" t="s">
        <v>45</v>
      </c>
      <c r="H222" s="21" t="s">
        <v>137</v>
      </c>
      <c r="I222" s="18" t="s">
        <v>139</v>
      </c>
      <c r="J222" s="18" t="s">
        <v>146</v>
      </c>
      <c r="K222" s="18" t="s">
        <v>136</v>
      </c>
      <c r="L222" s="18" t="s">
        <v>134</v>
      </c>
      <c r="M222" s="18" t="s">
        <v>160</v>
      </c>
      <c r="N222" s="18" t="s">
        <v>32</v>
      </c>
      <c r="O222" s="18" t="s">
        <v>34</v>
      </c>
      <c r="P222" s="18" t="s">
        <v>133</v>
      </c>
      <c r="Q222" s="42" t="s">
        <v>144</v>
      </c>
      <c r="R222" s="18" t="s">
        <v>36</v>
      </c>
      <c r="S222" s="35" t="s">
        <v>38</v>
      </c>
      <c r="T222" s="18" t="s">
        <v>40</v>
      </c>
      <c r="U222" s="18" t="s">
        <v>42</v>
      </c>
      <c r="V222" s="53"/>
      <c r="W222" s="52" t="s">
        <v>146</v>
      </c>
      <c r="X222" s="52" t="s">
        <v>32</v>
      </c>
      <c r="Y222" s="53"/>
      <c r="Z222" s="65"/>
      <c r="AA222" s="65"/>
      <c r="AB222" s="65"/>
      <c r="AC222" s="65"/>
      <c r="AD222" s="65"/>
      <c r="AE222" s="65"/>
    </row>
    <row r="223" spans="1:31" ht="13.5" thickBot="1" x14ac:dyDescent="0.25">
      <c r="A223" s="24" t="s">
        <v>21</v>
      </c>
      <c r="B223" s="25"/>
      <c r="C223" s="25"/>
      <c r="D223" s="25"/>
      <c r="E223" s="25"/>
      <c r="F223" s="25"/>
      <c r="G223" s="25"/>
      <c r="H223" s="27">
        <f>H225+H226+H227+H228+H229+H230+H231+H232</f>
        <v>4233600</v>
      </c>
      <c r="I223" s="26">
        <f>I225+I226+I227+I228+I229+I230+I231+I232</f>
        <v>888000</v>
      </c>
      <c r="J223" s="27">
        <f>J224+J225+J226+J227+J228+J229+J230+J231+J232</f>
        <v>110000</v>
      </c>
      <c r="K223" s="25"/>
      <c r="L223" s="25"/>
      <c r="M223" s="25"/>
      <c r="N223" s="27"/>
      <c r="O223" s="27"/>
      <c r="P223" s="25"/>
      <c r="Q223" s="25"/>
      <c r="R223" s="25"/>
      <c r="S223" s="25"/>
      <c r="T223" s="25"/>
      <c r="U223" s="31">
        <f>H223+I223+J223+N223+O223</f>
        <v>5231600</v>
      </c>
      <c r="V223" s="53"/>
      <c r="W223" s="54">
        <f>W224+W225+W226+W227+W228+W229+W230+W231+W232</f>
        <v>6872800</v>
      </c>
      <c r="X223" s="54">
        <f>X225+X226+X227+X228+X229+X230+X231+X232</f>
        <v>2098800</v>
      </c>
      <c r="Y223" s="53"/>
      <c r="Z223" s="65"/>
      <c r="AA223" s="65"/>
      <c r="AB223" s="65"/>
      <c r="AC223" s="65"/>
      <c r="AD223" s="65"/>
      <c r="AE223" s="65"/>
    </row>
    <row r="224" spans="1:31" x14ac:dyDescent="0.2">
      <c r="A224" s="19" t="s">
        <v>148</v>
      </c>
      <c r="B224" s="19"/>
      <c r="C224" s="19"/>
      <c r="D224" s="19"/>
      <c r="E224" s="19"/>
      <c r="F224" s="19"/>
      <c r="G224" s="19"/>
      <c r="H224" s="23"/>
      <c r="I224" s="36"/>
      <c r="J224" s="19">
        <f>60000/2</f>
        <v>30000</v>
      </c>
      <c r="K224" s="19"/>
      <c r="L224" s="19"/>
      <c r="M224" s="19"/>
      <c r="N224" s="23"/>
      <c r="O224" s="23"/>
      <c r="P224" s="19"/>
      <c r="Q224" s="23"/>
      <c r="R224" s="23"/>
      <c r="S224" s="23"/>
      <c r="T224" s="23"/>
      <c r="U224" s="39">
        <f t="shared" ref="U224" si="14">H224+I224+J224+N224+O224</f>
        <v>30000</v>
      </c>
      <c r="V224" s="53"/>
      <c r="W224" s="55">
        <v>60000</v>
      </c>
      <c r="X224" s="55"/>
      <c r="Y224" s="53"/>
      <c r="Z224" s="65"/>
      <c r="AA224" s="65"/>
      <c r="AB224" s="65"/>
      <c r="AC224" s="65"/>
      <c r="AD224" s="65"/>
      <c r="AE224" s="65"/>
    </row>
    <row r="225" spans="1:31" x14ac:dyDescent="0.2">
      <c r="A225" s="4" t="s">
        <v>94</v>
      </c>
      <c r="B225" s="4"/>
      <c r="C225" s="4"/>
      <c r="D225" s="4"/>
      <c r="E225" s="4"/>
      <c r="F225" s="4"/>
      <c r="G225" s="4"/>
      <c r="H225" s="4">
        <f>1388800/2</f>
        <v>694400</v>
      </c>
      <c r="I225" s="4">
        <f>48000*8/2</f>
        <v>192000</v>
      </c>
      <c r="J225" s="4">
        <f>20000/2</f>
        <v>10000</v>
      </c>
      <c r="K225" s="4"/>
      <c r="L225" s="4"/>
      <c r="M225" s="4"/>
      <c r="N225" s="4"/>
      <c r="O225" s="8"/>
      <c r="P225" s="4"/>
      <c r="Q225" s="4"/>
      <c r="R225" s="4"/>
      <c r="S225" s="4"/>
      <c r="T225" s="4"/>
      <c r="U225" s="40">
        <f>H225+I225+J225</f>
        <v>896400</v>
      </c>
      <c r="V225" s="45"/>
      <c r="W225" s="55">
        <v>1111200</v>
      </c>
      <c r="X225" s="55">
        <v>330000</v>
      </c>
      <c r="Y225" s="53"/>
      <c r="Z225" s="65"/>
      <c r="AA225" s="65"/>
      <c r="AB225" s="65"/>
      <c r="AC225" s="65"/>
      <c r="AD225" s="65"/>
      <c r="AE225" s="65"/>
    </row>
    <row r="226" spans="1:31" x14ac:dyDescent="0.2">
      <c r="A226" s="4" t="s">
        <v>95</v>
      </c>
      <c r="B226" s="4"/>
      <c r="C226" s="4"/>
      <c r="D226" s="4"/>
      <c r="E226" s="4"/>
      <c r="F226" s="4"/>
      <c r="G226" s="4"/>
      <c r="H226" s="4">
        <f>2094400/2</f>
        <v>1047200</v>
      </c>
      <c r="I226" s="4">
        <f>48000*16/2</f>
        <v>384000</v>
      </c>
      <c r="J226" s="4">
        <f t="shared" ref="J226:J232" si="15">20000/2</f>
        <v>10000</v>
      </c>
      <c r="K226" s="4"/>
      <c r="L226" s="4"/>
      <c r="M226" s="4"/>
      <c r="N226" s="4"/>
      <c r="O226" s="8"/>
      <c r="P226" s="4"/>
      <c r="Q226" s="4"/>
      <c r="R226" s="4"/>
      <c r="S226" s="4"/>
      <c r="T226" s="4"/>
      <c r="U226" s="40">
        <f t="shared" ref="U226:U232" si="16">H226+I226+J226</f>
        <v>1441200</v>
      </c>
      <c r="V226" s="45"/>
      <c r="W226" s="55">
        <v>1665600</v>
      </c>
      <c r="X226" s="55">
        <v>501600</v>
      </c>
      <c r="Y226" s="53"/>
      <c r="Z226" s="65"/>
      <c r="AA226" s="65"/>
      <c r="AB226" s="65"/>
      <c r="AC226" s="65"/>
      <c r="AD226" s="65"/>
      <c r="AE226" s="65"/>
    </row>
    <row r="227" spans="1:31" x14ac:dyDescent="0.2">
      <c r="A227" s="4" t="s">
        <v>96</v>
      </c>
      <c r="B227" s="4"/>
      <c r="C227" s="4"/>
      <c r="D227" s="4"/>
      <c r="E227" s="4"/>
      <c r="F227" s="4"/>
      <c r="G227" s="4"/>
      <c r="H227" s="4">
        <f>1041600/2</f>
        <v>520800</v>
      </c>
      <c r="I227" s="4">
        <f>48000*1/2</f>
        <v>24000</v>
      </c>
      <c r="J227" s="4">
        <f t="shared" si="15"/>
        <v>10000</v>
      </c>
      <c r="K227" s="4"/>
      <c r="L227" s="4"/>
      <c r="M227" s="4"/>
      <c r="N227" s="4"/>
      <c r="O227" s="8"/>
      <c r="P227" s="4"/>
      <c r="Q227" s="4"/>
      <c r="R227" s="4"/>
      <c r="S227" s="4"/>
      <c r="T227" s="4"/>
      <c r="U227" s="40">
        <f t="shared" si="16"/>
        <v>554800</v>
      </c>
      <c r="V227" s="45"/>
      <c r="W227" s="55">
        <v>838400</v>
      </c>
      <c r="X227" s="55">
        <v>264000</v>
      </c>
      <c r="Y227" s="53"/>
      <c r="Z227" s="65"/>
      <c r="AA227" s="65"/>
      <c r="AB227" s="65"/>
      <c r="AC227" s="65"/>
      <c r="AD227" s="65"/>
      <c r="AE227" s="65"/>
    </row>
    <row r="228" spans="1:31" x14ac:dyDescent="0.2">
      <c r="A228" s="4" t="s">
        <v>98</v>
      </c>
      <c r="B228" s="4"/>
      <c r="C228" s="4"/>
      <c r="D228" s="4"/>
      <c r="E228" s="4"/>
      <c r="F228" s="4"/>
      <c r="G228" s="4"/>
      <c r="H228" s="4">
        <f>560000/2</f>
        <v>280000</v>
      </c>
      <c r="I228" s="4">
        <f>48000*2/2</f>
        <v>48000</v>
      </c>
      <c r="J228" s="4">
        <f t="shared" si="15"/>
        <v>10000</v>
      </c>
      <c r="K228" s="4"/>
      <c r="L228" s="4"/>
      <c r="M228" s="4"/>
      <c r="N228" s="4"/>
      <c r="O228" s="8"/>
      <c r="P228" s="4"/>
      <c r="Q228" s="4"/>
      <c r="R228" s="4"/>
      <c r="S228" s="4"/>
      <c r="T228" s="4"/>
      <c r="U228" s="40">
        <f t="shared" si="16"/>
        <v>338000</v>
      </c>
      <c r="V228" s="45"/>
      <c r="W228" s="55">
        <v>460000</v>
      </c>
      <c r="X228" s="55">
        <v>132000</v>
      </c>
      <c r="Y228" s="53"/>
      <c r="Z228" s="65"/>
      <c r="AA228" s="65"/>
      <c r="AB228" s="65"/>
      <c r="AC228" s="65"/>
      <c r="AD228" s="65"/>
      <c r="AE228" s="65"/>
    </row>
    <row r="229" spans="1:31" x14ac:dyDescent="0.2">
      <c r="A229" s="4" t="s">
        <v>97</v>
      </c>
      <c r="B229" s="4"/>
      <c r="C229" s="4"/>
      <c r="D229" s="4"/>
      <c r="E229" s="4"/>
      <c r="F229" s="4"/>
      <c r="G229" s="4"/>
      <c r="H229" s="4">
        <f>907200/2</f>
        <v>453600</v>
      </c>
      <c r="I229" s="4">
        <f>48000*1/2</f>
        <v>24000</v>
      </c>
      <c r="J229" s="4">
        <f t="shared" si="15"/>
        <v>10000</v>
      </c>
      <c r="K229" s="4"/>
      <c r="L229" s="4"/>
      <c r="M229" s="4"/>
      <c r="N229" s="4"/>
      <c r="O229" s="8"/>
      <c r="P229" s="4"/>
      <c r="Q229" s="4"/>
      <c r="R229" s="4"/>
      <c r="S229" s="4"/>
      <c r="T229" s="4"/>
      <c r="U229" s="40">
        <f t="shared" si="16"/>
        <v>487600</v>
      </c>
      <c r="V229" s="45"/>
      <c r="W229" s="55">
        <v>732800</v>
      </c>
      <c r="X229" s="55">
        <v>237600</v>
      </c>
      <c r="Y229" s="53"/>
      <c r="Z229" s="65"/>
      <c r="AA229" s="65"/>
      <c r="AB229" s="65"/>
      <c r="AC229" s="65"/>
      <c r="AD229" s="65"/>
      <c r="AE229" s="65"/>
    </row>
    <row r="230" spans="1:31" x14ac:dyDescent="0.2">
      <c r="A230" s="4" t="s">
        <v>99</v>
      </c>
      <c r="B230" s="4"/>
      <c r="C230" s="4"/>
      <c r="D230" s="4"/>
      <c r="E230" s="4"/>
      <c r="F230" s="4"/>
      <c r="G230" s="4"/>
      <c r="H230" s="4">
        <f>716800/2</f>
        <v>358400</v>
      </c>
      <c r="I230" s="4">
        <f>48000*1/2</f>
        <v>24000</v>
      </c>
      <c r="J230" s="4">
        <f t="shared" si="15"/>
        <v>10000</v>
      </c>
      <c r="K230" s="4"/>
      <c r="L230" s="4"/>
      <c r="M230" s="4"/>
      <c r="N230" s="4"/>
      <c r="O230" s="8"/>
      <c r="P230" s="4"/>
      <c r="Q230" s="4"/>
      <c r="R230" s="4"/>
      <c r="S230" s="4"/>
      <c r="T230" s="4"/>
      <c r="U230" s="40">
        <f t="shared" si="16"/>
        <v>392400</v>
      </c>
      <c r="V230" s="45"/>
      <c r="W230" s="55">
        <v>583200</v>
      </c>
      <c r="X230" s="55">
        <v>198000</v>
      </c>
      <c r="Y230" s="53"/>
      <c r="Z230" s="65"/>
      <c r="AA230" s="65"/>
      <c r="AB230" s="65"/>
      <c r="AC230" s="65"/>
      <c r="AD230" s="65"/>
      <c r="AE230" s="65"/>
    </row>
    <row r="231" spans="1:31" x14ac:dyDescent="0.2">
      <c r="A231" s="4" t="s">
        <v>100</v>
      </c>
      <c r="B231" s="4"/>
      <c r="C231" s="4"/>
      <c r="D231" s="4"/>
      <c r="E231" s="4"/>
      <c r="F231" s="4"/>
      <c r="G231" s="4"/>
      <c r="H231" s="4">
        <f>1108800/2</f>
        <v>554400</v>
      </c>
      <c r="I231" s="4">
        <f>48000*2/2</f>
        <v>48000</v>
      </c>
      <c r="J231" s="4">
        <f t="shared" si="15"/>
        <v>10000</v>
      </c>
      <c r="K231" s="4"/>
      <c r="L231" s="4"/>
      <c r="M231" s="4"/>
      <c r="N231" s="4"/>
      <c r="O231" s="8"/>
      <c r="P231" s="4"/>
      <c r="Q231" s="4"/>
      <c r="R231" s="4"/>
      <c r="S231" s="4"/>
      <c r="T231" s="4"/>
      <c r="U231" s="40">
        <f t="shared" si="16"/>
        <v>612400</v>
      </c>
      <c r="V231" s="45"/>
      <c r="W231" s="55">
        <v>891200</v>
      </c>
      <c r="X231" s="55">
        <v>277200</v>
      </c>
      <c r="Y231" s="53"/>
      <c r="Z231" s="65"/>
      <c r="AA231" s="65"/>
      <c r="AB231" s="65"/>
      <c r="AC231" s="65"/>
      <c r="AD231" s="65"/>
      <c r="AE231" s="65"/>
    </row>
    <row r="232" spans="1:31" x14ac:dyDescent="0.2">
      <c r="A232" s="4" t="s">
        <v>101</v>
      </c>
      <c r="B232" s="4"/>
      <c r="C232" s="4"/>
      <c r="D232" s="4"/>
      <c r="E232" s="4"/>
      <c r="F232" s="4"/>
      <c r="G232" s="4"/>
      <c r="H232" s="4">
        <f>649600/2</f>
        <v>324800</v>
      </c>
      <c r="I232" s="4">
        <f>48000*6/2</f>
        <v>144000</v>
      </c>
      <c r="J232" s="4">
        <f t="shared" si="15"/>
        <v>10000</v>
      </c>
      <c r="K232" s="4"/>
      <c r="L232" s="4"/>
      <c r="M232" s="4"/>
      <c r="N232" s="4"/>
      <c r="O232" s="8"/>
      <c r="P232" s="4"/>
      <c r="Q232" s="4"/>
      <c r="R232" s="4"/>
      <c r="S232" s="4"/>
      <c r="T232" s="4"/>
      <c r="U232" s="40">
        <f t="shared" si="16"/>
        <v>478800</v>
      </c>
      <c r="V232" s="45"/>
      <c r="W232" s="55">
        <v>530400</v>
      </c>
      <c r="X232" s="55">
        <v>158400</v>
      </c>
      <c r="Y232" s="53"/>
      <c r="Z232" s="65"/>
      <c r="AA232" s="65"/>
      <c r="AB232" s="65"/>
      <c r="AC232" s="65"/>
      <c r="AD232" s="65"/>
      <c r="AE232" s="65"/>
    </row>
    <row r="233" spans="1:31" x14ac:dyDescent="0.2">
      <c r="J233" s="5"/>
      <c r="N233" s="12"/>
      <c r="O233" s="10"/>
      <c r="U233" s="10"/>
      <c r="V233" s="56">
        <f>SUM(V225:V232)</f>
        <v>0</v>
      </c>
      <c r="W233" s="53"/>
      <c r="X233" s="53"/>
      <c r="Y233" s="53"/>
      <c r="Z233" s="65"/>
      <c r="AA233" s="65"/>
      <c r="AB233" s="65"/>
      <c r="AC233" s="65"/>
      <c r="AD233" s="65"/>
      <c r="AE233" s="65"/>
    </row>
    <row r="234" spans="1:31" ht="18.75" x14ac:dyDescent="0.3">
      <c r="A234" s="33" t="s">
        <v>151</v>
      </c>
      <c r="B234" s="33"/>
      <c r="C234" s="33"/>
      <c r="D234" s="33"/>
      <c r="E234" s="33"/>
      <c r="F234" s="33"/>
      <c r="G234" s="33"/>
      <c r="H234" s="44"/>
      <c r="I234" s="33"/>
      <c r="J234" s="33"/>
      <c r="K234" s="33"/>
      <c r="L234" s="33"/>
      <c r="M234" s="33"/>
      <c r="N234" s="44"/>
      <c r="O234" s="33"/>
      <c r="P234" s="33"/>
      <c r="Q234" s="33"/>
      <c r="R234" s="33"/>
      <c r="S234" s="33"/>
      <c r="T234" s="33"/>
      <c r="U234" s="43"/>
      <c r="V234" s="53"/>
      <c r="W234" s="53"/>
      <c r="X234" s="53"/>
      <c r="Y234" s="53"/>
      <c r="Z234" s="65"/>
      <c r="AA234" s="65"/>
      <c r="AB234" s="65"/>
      <c r="AC234" s="65"/>
      <c r="AD234" s="65"/>
      <c r="AE234" s="65"/>
    </row>
    <row r="235" spans="1:31" ht="14.25" x14ac:dyDescent="0.25">
      <c r="A235" s="50" t="s">
        <v>174</v>
      </c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3"/>
      <c r="W235" s="53"/>
      <c r="X235" s="53"/>
      <c r="Y235" s="53"/>
      <c r="Z235" s="65"/>
      <c r="AA235" s="65"/>
      <c r="AB235" s="65"/>
      <c r="AC235" s="65"/>
      <c r="AD235" s="65"/>
      <c r="AE235" s="65"/>
    </row>
    <row r="236" spans="1:31" ht="14.25" x14ac:dyDescent="0.25">
      <c r="A236" s="50" t="s">
        <v>177</v>
      </c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3"/>
      <c r="W236" s="53"/>
      <c r="X236" s="53"/>
      <c r="Y236" s="53"/>
      <c r="Z236" s="65"/>
      <c r="AA236" s="65"/>
      <c r="AB236" s="65"/>
      <c r="AC236" s="65"/>
      <c r="AD236" s="65"/>
      <c r="AE236" s="65"/>
    </row>
    <row r="237" spans="1:31" ht="14.25" x14ac:dyDescent="0.25">
      <c r="A237" s="50" t="s">
        <v>175</v>
      </c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</row>
    <row r="238" spans="1:31" ht="14.25" x14ac:dyDescent="0.25">
      <c r="A238" s="50" t="s">
        <v>178</v>
      </c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</row>
    <row r="239" spans="1:31" ht="14.25" x14ac:dyDescent="0.25">
      <c r="A239" s="50" t="s">
        <v>180</v>
      </c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</row>
    <row r="240" spans="1:31" ht="14.25" x14ac:dyDescent="0.25">
      <c r="A240" s="50" t="s">
        <v>179</v>
      </c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</row>
    <row r="241" spans="1:31" ht="14.25" x14ac:dyDescent="0.25">
      <c r="A241" s="50" t="s">
        <v>176</v>
      </c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</row>
    <row r="242" spans="1:31" ht="14.25" x14ac:dyDescent="0.25">
      <c r="A242" s="50" t="s">
        <v>182</v>
      </c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</row>
    <row r="243" spans="1:31" ht="14.25" x14ac:dyDescent="0.25">
      <c r="A243" s="50" t="s">
        <v>181</v>
      </c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</row>
    <row r="244" spans="1:31" ht="14.25" x14ac:dyDescent="0.25">
      <c r="A244" s="50" t="s">
        <v>166</v>
      </c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</row>
    <row r="245" spans="1:31" ht="14.25" x14ac:dyDescent="0.25">
      <c r="A245" s="50" t="s">
        <v>167</v>
      </c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</row>
    <row r="246" spans="1:31" x14ac:dyDescent="0.2"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</row>
    <row r="247" spans="1:31" ht="17.25" x14ac:dyDescent="0.3">
      <c r="A247" s="94" t="s">
        <v>184</v>
      </c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</row>
    <row r="248" spans="1:31" x14ac:dyDescent="0.2"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</row>
    <row r="249" spans="1:31" x14ac:dyDescent="0.2"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</row>
    <row r="250" spans="1:31" x14ac:dyDescent="0.2"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</row>
    <row r="251" spans="1:31" x14ac:dyDescent="0.2"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</row>
    <row r="252" spans="1:31" x14ac:dyDescent="0.2"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</row>
    <row r="253" spans="1:31" x14ac:dyDescent="0.2"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</row>
    <row r="254" spans="1:31" x14ac:dyDescent="0.2"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</row>
    <row r="255" spans="1:31" x14ac:dyDescent="0.2"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</row>
    <row r="256" spans="1:31" x14ac:dyDescent="0.2">
      <c r="A256" s="6" t="s">
        <v>7</v>
      </c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</row>
    <row r="257" spans="1:31" x14ac:dyDescent="0.2">
      <c r="A257" s="14" t="s">
        <v>0</v>
      </c>
      <c r="B257" s="14" t="s">
        <v>46</v>
      </c>
      <c r="C257" s="14" t="s">
        <v>26</v>
      </c>
      <c r="D257" s="14" t="s">
        <v>46</v>
      </c>
      <c r="E257" s="14" t="s">
        <v>28</v>
      </c>
      <c r="F257" s="14" t="s">
        <v>43</v>
      </c>
      <c r="G257" s="14" t="s">
        <v>43</v>
      </c>
      <c r="H257" s="14" t="s">
        <v>14</v>
      </c>
      <c r="I257" s="14" t="s">
        <v>138</v>
      </c>
      <c r="J257" s="14" t="s">
        <v>30</v>
      </c>
      <c r="K257" s="14" t="s">
        <v>135</v>
      </c>
      <c r="L257" s="14" t="s">
        <v>13</v>
      </c>
      <c r="M257" s="14" t="s">
        <v>13</v>
      </c>
      <c r="N257" s="14" t="s">
        <v>31</v>
      </c>
      <c r="O257" s="14" t="s">
        <v>33</v>
      </c>
      <c r="P257" s="14" t="s">
        <v>33</v>
      </c>
      <c r="Q257" s="14" t="s">
        <v>145</v>
      </c>
      <c r="R257" s="14" t="s">
        <v>35</v>
      </c>
      <c r="S257" s="34" t="s">
        <v>37</v>
      </c>
      <c r="T257" s="14" t="s">
        <v>39</v>
      </c>
      <c r="U257" s="14" t="s">
        <v>41</v>
      </c>
      <c r="V257" s="53"/>
      <c r="W257" s="52"/>
      <c r="X257" s="52"/>
      <c r="Y257" s="53"/>
      <c r="Z257" s="53"/>
      <c r="AA257" s="65"/>
      <c r="AB257" s="65"/>
      <c r="AC257" s="65"/>
      <c r="AD257" s="65"/>
      <c r="AE257" s="65"/>
    </row>
    <row r="258" spans="1:31" ht="13.5" thickBot="1" x14ac:dyDescent="0.25">
      <c r="A258" s="18"/>
      <c r="B258" s="18" t="s">
        <v>48</v>
      </c>
      <c r="C258" s="18" t="s">
        <v>27</v>
      </c>
      <c r="D258" s="18" t="s">
        <v>47</v>
      </c>
      <c r="E258" s="18" t="s">
        <v>29</v>
      </c>
      <c r="F258" s="18" t="s">
        <v>44</v>
      </c>
      <c r="G258" s="18" t="s">
        <v>45</v>
      </c>
      <c r="H258" s="21" t="s">
        <v>137</v>
      </c>
      <c r="I258" s="18" t="s">
        <v>139</v>
      </c>
      <c r="J258" s="18" t="s">
        <v>146</v>
      </c>
      <c r="K258" s="18" t="s">
        <v>136</v>
      </c>
      <c r="L258" s="18" t="s">
        <v>134</v>
      </c>
      <c r="M258" s="18" t="s">
        <v>160</v>
      </c>
      <c r="N258" s="18" t="s">
        <v>32</v>
      </c>
      <c r="O258" s="18" t="s">
        <v>34</v>
      </c>
      <c r="P258" s="18" t="s">
        <v>133</v>
      </c>
      <c r="Q258" s="42" t="s">
        <v>144</v>
      </c>
      <c r="R258" s="18" t="s">
        <v>36</v>
      </c>
      <c r="S258" s="35" t="s">
        <v>38</v>
      </c>
      <c r="T258" s="18" t="s">
        <v>40</v>
      </c>
      <c r="U258" s="18" t="s">
        <v>42</v>
      </c>
      <c r="V258" s="53"/>
      <c r="W258" s="52"/>
      <c r="X258" s="52"/>
      <c r="Y258" s="53"/>
      <c r="Z258" s="53"/>
      <c r="AA258" s="65"/>
      <c r="AB258" s="65"/>
      <c r="AC258" s="65"/>
      <c r="AD258" s="65"/>
      <c r="AE258" s="65"/>
    </row>
    <row r="259" spans="1:31" ht="13.5" thickBot="1" x14ac:dyDescent="0.25">
      <c r="A259" s="24" t="s">
        <v>22</v>
      </c>
      <c r="B259" s="25"/>
      <c r="C259" s="25"/>
      <c r="D259" s="25"/>
      <c r="E259" s="25"/>
      <c r="F259" s="25"/>
      <c r="G259" s="25"/>
      <c r="H259" s="27">
        <f>H261+H262+H263+H264+H265+H266+H267+H268+H269</f>
        <v>3903200</v>
      </c>
      <c r="I259" s="26">
        <f>I261+I262+I263+I264+I265+I266+I267+I268+I269</f>
        <v>744000</v>
      </c>
      <c r="J259" s="27">
        <f>J260+J261+J262+J263+J264+J265+J266+J267+J268+J269</f>
        <v>120000</v>
      </c>
      <c r="K259" s="25"/>
      <c r="L259" s="25"/>
      <c r="M259" s="25"/>
      <c r="N259" s="27"/>
      <c r="O259" s="27"/>
      <c r="P259" s="25"/>
      <c r="Q259" s="29"/>
      <c r="R259" s="29"/>
      <c r="S259" s="29"/>
      <c r="T259" s="29"/>
      <c r="U259" s="31">
        <f>H259+I259+J259+N259+O259</f>
        <v>4767200</v>
      </c>
      <c r="V259" s="53"/>
      <c r="W259" s="54"/>
      <c r="X259" s="54"/>
      <c r="Y259" s="53"/>
      <c r="Z259" s="53"/>
      <c r="AA259" s="65"/>
      <c r="AB259" s="65"/>
      <c r="AC259" s="65"/>
      <c r="AD259" s="65"/>
      <c r="AE259" s="65"/>
    </row>
    <row r="260" spans="1:31" x14ac:dyDescent="0.2">
      <c r="A260" s="19" t="s">
        <v>149</v>
      </c>
      <c r="B260" s="19"/>
      <c r="C260" s="19"/>
      <c r="D260" s="19"/>
      <c r="E260" s="19"/>
      <c r="F260" s="19"/>
      <c r="G260" s="19"/>
      <c r="H260" s="23"/>
      <c r="I260" s="36"/>
      <c r="J260" s="19">
        <f>60000/2</f>
        <v>30000</v>
      </c>
      <c r="K260" s="19"/>
      <c r="L260" s="19"/>
      <c r="M260" s="19"/>
      <c r="N260" s="23"/>
      <c r="O260" s="23"/>
      <c r="P260" s="19"/>
      <c r="Q260" s="23"/>
      <c r="R260" s="23"/>
      <c r="S260" s="23"/>
      <c r="T260" s="23"/>
      <c r="U260" s="39">
        <f t="shared" ref="U260" si="17">H260+I260+J260+N260+O260</f>
        <v>30000</v>
      </c>
      <c r="V260" s="53"/>
      <c r="W260" s="55"/>
      <c r="X260" s="55"/>
      <c r="Y260" s="53"/>
      <c r="Z260" s="53"/>
      <c r="AA260" s="65"/>
      <c r="AB260" s="65"/>
      <c r="AC260" s="65"/>
      <c r="AD260" s="65"/>
      <c r="AE260" s="65"/>
    </row>
    <row r="261" spans="1:31" x14ac:dyDescent="0.2">
      <c r="A261" s="4" t="s">
        <v>102</v>
      </c>
      <c r="B261" s="4"/>
      <c r="C261" s="4"/>
      <c r="D261" s="4"/>
      <c r="E261" s="4"/>
      <c r="F261" s="4"/>
      <c r="G261" s="4"/>
      <c r="H261" s="4">
        <f>772800/2</f>
        <v>386400</v>
      </c>
      <c r="I261" s="4">
        <f>48000*3/2</f>
        <v>72000</v>
      </c>
      <c r="J261" s="4">
        <f>20000/2</f>
        <v>10000</v>
      </c>
      <c r="K261" s="4"/>
      <c r="L261" s="4"/>
      <c r="M261" s="4"/>
      <c r="N261" s="4"/>
      <c r="O261" s="8"/>
      <c r="P261" s="4"/>
      <c r="Q261" s="4"/>
      <c r="R261" s="4"/>
      <c r="S261" s="4"/>
      <c r="T261" s="4"/>
      <c r="U261" s="40">
        <f>H261+I261+J261</f>
        <v>468400</v>
      </c>
      <c r="V261" s="45"/>
      <c r="W261" s="55"/>
      <c r="X261" s="55"/>
      <c r="Y261" s="53"/>
      <c r="Z261" s="53"/>
      <c r="AA261" s="65"/>
      <c r="AB261" s="65"/>
      <c r="AC261" s="65"/>
      <c r="AD261" s="65"/>
      <c r="AE261" s="65"/>
    </row>
    <row r="262" spans="1:31" x14ac:dyDescent="0.2">
      <c r="A262" s="4" t="s">
        <v>103</v>
      </c>
      <c r="B262" s="4"/>
      <c r="C262" s="4"/>
      <c r="D262" s="4"/>
      <c r="E262" s="4"/>
      <c r="F262" s="4"/>
      <c r="G262" s="4"/>
      <c r="H262" s="4">
        <f>806400/2</f>
        <v>403200</v>
      </c>
      <c r="I262" s="4">
        <f>48000*2/2</f>
        <v>48000</v>
      </c>
      <c r="J262" s="4">
        <f t="shared" ref="J262:J269" si="18">20000/2</f>
        <v>10000</v>
      </c>
      <c r="K262" s="4"/>
      <c r="L262" s="4"/>
      <c r="M262" s="4"/>
      <c r="N262" s="4"/>
      <c r="O262" s="8"/>
      <c r="P262" s="4"/>
      <c r="Q262" s="4"/>
      <c r="R262" s="4"/>
      <c r="S262" s="4"/>
      <c r="T262" s="4"/>
      <c r="U262" s="40">
        <f t="shared" ref="U262:U269" si="19">H262+I262+J262</f>
        <v>461200</v>
      </c>
      <c r="V262" s="45"/>
      <c r="W262" s="55"/>
      <c r="X262" s="55"/>
      <c r="Y262" s="53"/>
      <c r="Z262" s="53"/>
      <c r="AA262" s="65"/>
      <c r="AB262" s="65"/>
      <c r="AC262" s="65"/>
      <c r="AD262" s="65"/>
      <c r="AE262" s="65"/>
    </row>
    <row r="263" spans="1:31" x14ac:dyDescent="0.2">
      <c r="A263" s="4" t="s">
        <v>104</v>
      </c>
      <c r="B263" s="4"/>
      <c r="C263" s="4"/>
      <c r="D263" s="4"/>
      <c r="E263" s="4"/>
      <c r="F263" s="4"/>
      <c r="G263" s="4"/>
      <c r="H263" s="4">
        <f>1232000/2</f>
        <v>616000</v>
      </c>
      <c r="I263" s="4">
        <f>48000*10/2</f>
        <v>240000</v>
      </c>
      <c r="J263" s="4">
        <f t="shared" si="18"/>
        <v>10000</v>
      </c>
      <c r="K263" s="4"/>
      <c r="L263" s="4"/>
      <c r="M263" s="4"/>
      <c r="N263" s="4"/>
      <c r="O263" s="8"/>
      <c r="P263" s="4"/>
      <c r="Q263" s="4"/>
      <c r="R263" s="4"/>
      <c r="S263" s="4"/>
      <c r="T263" s="4"/>
      <c r="U263" s="40">
        <f t="shared" si="19"/>
        <v>866000</v>
      </c>
      <c r="V263" s="45"/>
      <c r="W263" s="55"/>
      <c r="X263" s="55"/>
      <c r="Y263" s="53"/>
      <c r="Z263" s="53"/>
      <c r="AA263" s="65"/>
      <c r="AB263" s="65"/>
      <c r="AC263" s="65"/>
      <c r="AD263" s="65"/>
      <c r="AE263" s="65"/>
    </row>
    <row r="264" spans="1:31" x14ac:dyDescent="0.2">
      <c r="A264" s="4" t="s">
        <v>105</v>
      </c>
      <c r="B264" s="4"/>
      <c r="C264" s="4"/>
      <c r="D264" s="4"/>
      <c r="E264" s="4"/>
      <c r="F264" s="4"/>
      <c r="G264" s="4"/>
      <c r="H264" s="4">
        <f>873600/2</f>
        <v>436800</v>
      </c>
      <c r="I264" s="4">
        <f>48000*1/2</f>
        <v>24000</v>
      </c>
      <c r="J264" s="4">
        <f t="shared" si="18"/>
        <v>10000</v>
      </c>
      <c r="K264" s="4"/>
      <c r="L264" s="4"/>
      <c r="M264" s="4"/>
      <c r="N264" s="4"/>
      <c r="O264" s="8"/>
      <c r="P264" s="4"/>
      <c r="Q264" s="4"/>
      <c r="R264" s="4"/>
      <c r="S264" s="4"/>
      <c r="T264" s="4"/>
      <c r="U264" s="40">
        <f t="shared" si="19"/>
        <v>470800</v>
      </c>
      <c r="V264" s="45"/>
      <c r="W264" s="55"/>
      <c r="X264" s="55"/>
      <c r="Y264" s="53"/>
      <c r="Z264" s="53"/>
      <c r="AA264" s="65"/>
      <c r="AB264" s="65"/>
      <c r="AC264" s="65"/>
      <c r="AD264" s="65"/>
      <c r="AE264" s="65"/>
    </row>
    <row r="265" spans="1:31" x14ac:dyDescent="0.2">
      <c r="A265" s="4" t="s">
        <v>106</v>
      </c>
      <c r="B265" s="4"/>
      <c r="C265" s="4"/>
      <c r="D265" s="4"/>
      <c r="E265" s="4"/>
      <c r="F265" s="4"/>
      <c r="G265" s="4"/>
      <c r="H265" s="4">
        <f>918400/2</f>
        <v>459200</v>
      </c>
      <c r="I265" s="4">
        <f>48000*5/2</f>
        <v>120000</v>
      </c>
      <c r="J265" s="4">
        <f t="shared" si="18"/>
        <v>10000</v>
      </c>
      <c r="K265" s="4"/>
      <c r="L265" s="4"/>
      <c r="M265" s="4"/>
      <c r="N265" s="4"/>
      <c r="O265" s="8"/>
      <c r="P265" s="4"/>
      <c r="Q265" s="4"/>
      <c r="R265" s="4"/>
      <c r="S265" s="4"/>
      <c r="T265" s="4"/>
      <c r="U265" s="40">
        <f t="shared" si="19"/>
        <v>589200</v>
      </c>
      <c r="V265" s="45"/>
      <c r="W265" s="55"/>
      <c r="X265" s="55"/>
      <c r="Y265" s="53"/>
      <c r="Z265" s="53"/>
      <c r="AA265" s="65"/>
      <c r="AB265" s="65"/>
      <c r="AC265" s="65"/>
      <c r="AD265" s="65"/>
      <c r="AE265" s="65"/>
    </row>
    <row r="266" spans="1:31" x14ac:dyDescent="0.2">
      <c r="A266" s="4" t="s">
        <v>107</v>
      </c>
      <c r="B266" s="4"/>
      <c r="C266" s="4"/>
      <c r="D266" s="4"/>
      <c r="E266" s="4"/>
      <c r="F266" s="4"/>
      <c r="G266" s="4"/>
      <c r="H266" s="4">
        <f>1008000/2</f>
        <v>504000</v>
      </c>
      <c r="I266" s="4">
        <f>48000*4/2</f>
        <v>96000</v>
      </c>
      <c r="J266" s="4">
        <f t="shared" si="18"/>
        <v>10000</v>
      </c>
      <c r="K266" s="4"/>
      <c r="L266" s="4"/>
      <c r="M266" s="4"/>
      <c r="N266" s="4"/>
      <c r="O266" s="8"/>
      <c r="P266" s="4"/>
      <c r="Q266" s="4"/>
      <c r="R266" s="4"/>
      <c r="S266" s="4"/>
      <c r="T266" s="4"/>
      <c r="U266" s="40">
        <f t="shared" si="19"/>
        <v>610000</v>
      </c>
      <c r="V266" s="45"/>
      <c r="W266" s="55"/>
      <c r="X266" s="55"/>
      <c r="Y266" s="53"/>
      <c r="Z266" s="53"/>
      <c r="AA266" s="65"/>
      <c r="AB266" s="65"/>
      <c r="AC266" s="65"/>
      <c r="AD266" s="65"/>
      <c r="AE266" s="65"/>
    </row>
    <row r="267" spans="1:31" x14ac:dyDescent="0.2">
      <c r="A267" s="4" t="s">
        <v>108</v>
      </c>
      <c r="B267" s="4"/>
      <c r="C267" s="4"/>
      <c r="D267" s="4"/>
      <c r="E267" s="4"/>
      <c r="F267" s="4"/>
      <c r="G267" s="4"/>
      <c r="H267" s="4">
        <f>806400/2</f>
        <v>403200</v>
      </c>
      <c r="I267" s="4">
        <f>48000*4/2</f>
        <v>96000</v>
      </c>
      <c r="J267" s="4">
        <f t="shared" si="18"/>
        <v>10000</v>
      </c>
      <c r="K267" s="4"/>
      <c r="L267" s="4"/>
      <c r="M267" s="4"/>
      <c r="N267" s="4"/>
      <c r="O267" s="8"/>
      <c r="P267" s="4"/>
      <c r="Q267" s="4"/>
      <c r="R267" s="4"/>
      <c r="S267" s="4"/>
      <c r="T267" s="4"/>
      <c r="U267" s="40">
        <f t="shared" si="19"/>
        <v>509200</v>
      </c>
      <c r="V267" s="45"/>
      <c r="W267" s="55"/>
      <c r="X267" s="55"/>
      <c r="Y267" s="53"/>
      <c r="Z267" s="53"/>
      <c r="AA267" s="65"/>
      <c r="AB267" s="65"/>
      <c r="AC267" s="65"/>
      <c r="AD267" s="65"/>
      <c r="AE267" s="65"/>
    </row>
    <row r="268" spans="1:31" x14ac:dyDescent="0.2">
      <c r="A268" s="4" t="s">
        <v>109</v>
      </c>
      <c r="B268" s="4"/>
      <c r="C268" s="4"/>
      <c r="D268" s="4"/>
      <c r="E268" s="4"/>
      <c r="F268" s="4"/>
      <c r="G268" s="4"/>
      <c r="H268" s="4">
        <f>772800/2</f>
        <v>386400</v>
      </c>
      <c r="I268" s="4">
        <f>48000*1/2</f>
        <v>24000</v>
      </c>
      <c r="J268" s="4">
        <f t="shared" si="18"/>
        <v>10000</v>
      </c>
      <c r="K268" s="4"/>
      <c r="L268" s="4"/>
      <c r="M268" s="4"/>
      <c r="N268" s="4"/>
      <c r="O268" s="8"/>
      <c r="P268" s="4"/>
      <c r="Q268" s="4"/>
      <c r="R268" s="4"/>
      <c r="S268" s="4"/>
      <c r="T268" s="4"/>
      <c r="U268" s="40">
        <f t="shared" si="19"/>
        <v>420400</v>
      </c>
      <c r="V268" s="45"/>
      <c r="W268" s="55"/>
      <c r="X268" s="55"/>
      <c r="Y268" s="53"/>
      <c r="Z268" s="53"/>
      <c r="AA268" s="65"/>
      <c r="AB268" s="65"/>
      <c r="AC268" s="65"/>
      <c r="AD268" s="65"/>
      <c r="AE268" s="65"/>
    </row>
    <row r="269" spans="1:31" x14ac:dyDescent="0.2">
      <c r="A269" s="4" t="s">
        <v>110</v>
      </c>
      <c r="B269" s="4"/>
      <c r="C269" s="4"/>
      <c r="D269" s="4"/>
      <c r="E269" s="4"/>
      <c r="F269" s="4"/>
      <c r="G269" s="4"/>
      <c r="H269" s="4">
        <f>616000/2</f>
        <v>308000</v>
      </c>
      <c r="I269" s="4">
        <f>48000*1/2</f>
        <v>24000</v>
      </c>
      <c r="J269" s="4">
        <f t="shared" si="18"/>
        <v>10000</v>
      </c>
      <c r="K269" s="4"/>
      <c r="L269" s="4"/>
      <c r="M269" s="4"/>
      <c r="N269" s="4"/>
      <c r="O269" s="8"/>
      <c r="P269" s="4"/>
      <c r="Q269" s="4"/>
      <c r="R269" s="4"/>
      <c r="S269" s="4"/>
      <c r="T269" s="4"/>
      <c r="U269" s="40">
        <f t="shared" si="19"/>
        <v>342000</v>
      </c>
      <c r="V269" s="45"/>
      <c r="W269" s="55"/>
      <c r="X269" s="55"/>
      <c r="Y269" s="53"/>
      <c r="Z269" s="53"/>
      <c r="AA269" s="65"/>
      <c r="AB269" s="65"/>
      <c r="AC269" s="65"/>
      <c r="AD269" s="65"/>
      <c r="AE269" s="65"/>
    </row>
    <row r="270" spans="1:31" x14ac:dyDescent="0.2">
      <c r="J270" s="5"/>
      <c r="N270" s="10"/>
      <c r="O270" s="10"/>
      <c r="U270" s="10"/>
      <c r="V270" s="56"/>
      <c r="W270" s="53"/>
      <c r="X270" s="53"/>
      <c r="Y270" s="53"/>
      <c r="Z270" s="53"/>
      <c r="AA270" s="65"/>
      <c r="AB270" s="65"/>
      <c r="AC270" s="65"/>
      <c r="AD270" s="65"/>
      <c r="AE270" s="65"/>
    </row>
    <row r="271" spans="1:31" ht="18.75" x14ac:dyDescent="0.3">
      <c r="A271" s="33" t="s">
        <v>151</v>
      </c>
      <c r="B271" s="33"/>
      <c r="C271" s="33"/>
      <c r="D271" s="33"/>
      <c r="E271" s="33"/>
      <c r="F271" s="33"/>
      <c r="G271" s="33"/>
      <c r="H271" s="44"/>
      <c r="I271" s="33"/>
      <c r="J271" s="33"/>
      <c r="K271" s="33"/>
      <c r="L271" s="33"/>
      <c r="M271" s="33"/>
      <c r="N271" s="44"/>
      <c r="O271" s="33"/>
      <c r="P271" s="33"/>
      <c r="Q271" s="33"/>
      <c r="R271" s="33"/>
      <c r="S271" s="33"/>
      <c r="T271" s="33"/>
      <c r="U271" s="43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</row>
    <row r="272" spans="1:31" ht="14.25" x14ac:dyDescent="0.25">
      <c r="A272" s="50" t="s">
        <v>174</v>
      </c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</row>
    <row r="273" spans="1:31" ht="14.25" x14ac:dyDescent="0.25">
      <c r="A273" s="50" t="s">
        <v>177</v>
      </c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</row>
    <row r="274" spans="1:31" ht="14.25" x14ac:dyDescent="0.25">
      <c r="A274" s="50" t="s">
        <v>175</v>
      </c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65"/>
      <c r="W274" s="65"/>
      <c r="X274" s="65"/>
      <c r="Y274" s="65"/>
      <c r="Z274" s="65"/>
      <c r="AA274" s="65"/>
      <c r="AB274" s="65"/>
      <c r="AC274" s="65"/>
      <c r="AD274" s="65"/>
      <c r="AE274" s="65"/>
    </row>
    <row r="275" spans="1:31" ht="14.25" x14ac:dyDescent="0.25">
      <c r="A275" s="50" t="s">
        <v>178</v>
      </c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65"/>
      <c r="W275" s="65"/>
      <c r="X275" s="65"/>
      <c r="Y275" s="65"/>
      <c r="Z275" s="65"/>
      <c r="AA275" s="65"/>
      <c r="AB275" s="65"/>
      <c r="AC275" s="65"/>
      <c r="AD275" s="65"/>
      <c r="AE275" s="65"/>
    </row>
    <row r="276" spans="1:31" ht="14.25" x14ac:dyDescent="0.25">
      <c r="A276" s="50" t="s">
        <v>180</v>
      </c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</row>
    <row r="277" spans="1:31" ht="14.25" x14ac:dyDescent="0.25">
      <c r="A277" s="50" t="s">
        <v>179</v>
      </c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</row>
    <row r="278" spans="1:31" ht="14.25" x14ac:dyDescent="0.25">
      <c r="A278" s="50" t="s">
        <v>176</v>
      </c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</row>
    <row r="279" spans="1:31" ht="14.25" x14ac:dyDescent="0.25">
      <c r="A279" s="50" t="s">
        <v>182</v>
      </c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</row>
    <row r="280" spans="1:31" ht="14.25" x14ac:dyDescent="0.25">
      <c r="A280" s="50" t="s">
        <v>181</v>
      </c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</row>
    <row r="281" spans="1:31" ht="14.25" x14ac:dyDescent="0.25">
      <c r="A281" s="50" t="s">
        <v>166</v>
      </c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</row>
    <row r="282" spans="1:31" ht="14.25" x14ac:dyDescent="0.25">
      <c r="A282" s="50" t="s">
        <v>167</v>
      </c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</row>
    <row r="283" spans="1:31" x14ac:dyDescent="0.2">
      <c r="A283" s="79"/>
      <c r="B283" s="79"/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</row>
    <row r="284" spans="1:31" ht="17.25" x14ac:dyDescent="0.3">
      <c r="A284" s="94" t="s">
        <v>184</v>
      </c>
      <c r="B284" s="79"/>
      <c r="C284" s="79"/>
      <c r="D284" s="79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</row>
    <row r="285" spans="1:31" x14ac:dyDescent="0.2">
      <c r="V285" s="65"/>
      <c r="W285" s="65"/>
      <c r="X285" s="65"/>
      <c r="Y285" s="65"/>
      <c r="Z285" s="65"/>
      <c r="AA285" s="65"/>
      <c r="AB285" s="65"/>
      <c r="AC285" s="65"/>
      <c r="AD285" s="65"/>
      <c r="AE285" s="65"/>
    </row>
    <row r="286" spans="1:31" x14ac:dyDescent="0.2"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</row>
    <row r="287" spans="1:31" x14ac:dyDescent="0.2"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</row>
    <row r="288" spans="1:31" x14ac:dyDescent="0.2"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</row>
    <row r="289" spans="1:31" x14ac:dyDescent="0.2"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</row>
    <row r="290" spans="1:31" x14ac:dyDescent="0.2"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</row>
    <row r="291" spans="1:31" x14ac:dyDescent="0.2"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</row>
    <row r="292" spans="1:31" x14ac:dyDescent="0.2"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</row>
    <row r="293" spans="1:31" x14ac:dyDescent="0.2"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</row>
    <row r="294" spans="1:31" x14ac:dyDescent="0.2">
      <c r="A294" s="6" t="s">
        <v>8</v>
      </c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</row>
    <row r="295" spans="1:31" x14ac:dyDescent="0.2">
      <c r="A295" s="14" t="s">
        <v>0</v>
      </c>
      <c r="B295" s="14" t="s">
        <v>46</v>
      </c>
      <c r="C295" s="14" t="s">
        <v>26</v>
      </c>
      <c r="D295" s="14" t="s">
        <v>46</v>
      </c>
      <c r="E295" s="14" t="s">
        <v>28</v>
      </c>
      <c r="F295" s="14" t="s">
        <v>43</v>
      </c>
      <c r="G295" s="14" t="s">
        <v>43</v>
      </c>
      <c r="H295" s="14" t="s">
        <v>14</v>
      </c>
      <c r="I295" s="14" t="s">
        <v>138</v>
      </c>
      <c r="J295" s="14" t="s">
        <v>30</v>
      </c>
      <c r="K295" s="14" t="s">
        <v>135</v>
      </c>
      <c r="L295" s="14" t="s">
        <v>13</v>
      </c>
      <c r="M295" s="14" t="s">
        <v>13</v>
      </c>
      <c r="N295" s="14" t="s">
        <v>31</v>
      </c>
      <c r="O295" s="14" t="s">
        <v>33</v>
      </c>
      <c r="P295" s="14" t="s">
        <v>33</v>
      </c>
      <c r="Q295" s="14" t="s">
        <v>145</v>
      </c>
      <c r="R295" s="14" t="s">
        <v>35</v>
      </c>
      <c r="S295" s="34" t="s">
        <v>37</v>
      </c>
      <c r="T295" s="14" t="s">
        <v>39</v>
      </c>
      <c r="U295" s="84" t="s">
        <v>41</v>
      </c>
      <c r="V295" s="90"/>
      <c r="W295" s="52"/>
      <c r="X295" s="52"/>
      <c r="Y295" s="53"/>
      <c r="Z295" s="53"/>
      <c r="AA295" s="65"/>
      <c r="AB295" s="65"/>
      <c r="AC295" s="65"/>
      <c r="AD295" s="65"/>
      <c r="AE295" s="65"/>
    </row>
    <row r="296" spans="1:31" ht="13.5" thickBot="1" x14ac:dyDescent="0.25">
      <c r="A296" s="18"/>
      <c r="B296" s="18" t="s">
        <v>48</v>
      </c>
      <c r="C296" s="18" t="s">
        <v>27</v>
      </c>
      <c r="D296" s="18" t="s">
        <v>47</v>
      </c>
      <c r="E296" s="18" t="s">
        <v>29</v>
      </c>
      <c r="F296" s="18" t="s">
        <v>44</v>
      </c>
      <c r="G296" s="18" t="s">
        <v>45</v>
      </c>
      <c r="H296" s="21" t="s">
        <v>137</v>
      </c>
      <c r="I296" s="18" t="s">
        <v>139</v>
      </c>
      <c r="J296" s="18" t="s">
        <v>146</v>
      </c>
      <c r="K296" s="18" t="s">
        <v>136</v>
      </c>
      <c r="L296" s="18" t="s">
        <v>134</v>
      </c>
      <c r="M296" s="18" t="s">
        <v>160</v>
      </c>
      <c r="N296" s="18" t="s">
        <v>32</v>
      </c>
      <c r="O296" s="18" t="s">
        <v>34</v>
      </c>
      <c r="P296" s="18" t="s">
        <v>133</v>
      </c>
      <c r="Q296" s="42" t="s">
        <v>144</v>
      </c>
      <c r="R296" s="18" t="s">
        <v>36</v>
      </c>
      <c r="S296" s="35" t="s">
        <v>38</v>
      </c>
      <c r="T296" s="18" t="s">
        <v>40</v>
      </c>
      <c r="U296" s="85" t="s">
        <v>42</v>
      </c>
      <c r="V296" s="90"/>
      <c r="W296" s="52"/>
      <c r="X296" s="52"/>
      <c r="Y296" s="53"/>
      <c r="Z296" s="53"/>
      <c r="AA296" s="65"/>
      <c r="AB296" s="65"/>
      <c r="AC296" s="65"/>
      <c r="AD296" s="65"/>
      <c r="AE296" s="65"/>
    </row>
    <row r="297" spans="1:31" ht="13.5" thickBot="1" x14ac:dyDescent="0.25">
      <c r="A297" s="24" t="s">
        <v>23</v>
      </c>
      <c r="B297" s="25"/>
      <c r="C297" s="25"/>
      <c r="D297" s="25"/>
      <c r="E297" s="25"/>
      <c r="F297" s="25"/>
      <c r="G297" s="25"/>
      <c r="H297" s="27">
        <f>H299+H300+H301+H302+H303+H304+H305+H306</f>
        <v>2856000</v>
      </c>
      <c r="I297" s="27">
        <f>I299+I300+I301+I302+I303+I304+I305+I306</f>
        <v>1152000</v>
      </c>
      <c r="J297" s="27">
        <f>J298+J299+J300+J301+J302+J303+J304+J305+J306</f>
        <v>110000</v>
      </c>
      <c r="K297" s="25"/>
      <c r="L297" s="25"/>
      <c r="M297" s="25"/>
      <c r="N297" s="27"/>
      <c r="O297" s="27"/>
      <c r="P297" s="25"/>
      <c r="Q297" s="29"/>
      <c r="R297" s="29"/>
      <c r="S297" s="29"/>
      <c r="T297" s="29"/>
      <c r="U297" s="86">
        <f>H297+I297+J297+N297+O297</f>
        <v>4118000</v>
      </c>
      <c r="V297" s="90"/>
      <c r="W297" s="54"/>
      <c r="X297" s="54"/>
      <c r="Y297" s="53"/>
      <c r="Z297" s="53"/>
      <c r="AA297" s="65"/>
      <c r="AB297" s="65"/>
      <c r="AC297" s="65"/>
      <c r="AD297" s="65"/>
      <c r="AE297" s="65"/>
    </row>
    <row r="298" spans="1:31" x14ac:dyDescent="0.2">
      <c r="A298" s="19" t="s">
        <v>150</v>
      </c>
      <c r="B298" s="19"/>
      <c r="C298" s="19"/>
      <c r="D298" s="19"/>
      <c r="E298" s="19"/>
      <c r="F298" s="19"/>
      <c r="G298" s="19"/>
      <c r="H298" s="23"/>
      <c r="I298" s="36"/>
      <c r="J298" s="19">
        <f>60000/2</f>
        <v>30000</v>
      </c>
      <c r="K298" s="19"/>
      <c r="L298" s="19"/>
      <c r="M298" s="19"/>
      <c r="N298" s="23"/>
      <c r="O298" s="23"/>
      <c r="P298" s="19"/>
      <c r="Q298" s="23"/>
      <c r="R298" s="23"/>
      <c r="S298" s="23"/>
      <c r="T298" s="23"/>
      <c r="U298" s="87">
        <f t="shared" ref="U298" si="20">H298+I298+J298+N298+O298</f>
        <v>30000</v>
      </c>
      <c r="V298" s="90"/>
      <c r="W298" s="55"/>
      <c r="X298" s="55"/>
      <c r="Y298" s="53"/>
      <c r="Z298" s="53"/>
      <c r="AA298" s="65"/>
      <c r="AB298" s="65"/>
      <c r="AC298" s="65"/>
      <c r="AD298" s="65"/>
      <c r="AE298" s="65"/>
    </row>
    <row r="299" spans="1:31" x14ac:dyDescent="0.2">
      <c r="A299" s="4" t="s">
        <v>111</v>
      </c>
      <c r="B299" s="4"/>
      <c r="C299" s="4"/>
      <c r="D299" s="4"/>
      <c r="E299" s="4"/>
      <c r="F299" s="4"/>
      <c r="G299" s="4"/>
      <c r="H299" s="4">
        <f>1153600/2</f>
        <v>576800</v>
      </c>
      <c r="I299" s="4">
        <f>48000*9/2</f>
        <v>216000</v>
      </c>
      <c r="J299" s="4">
        <f>20000/2</f>
        <v>10000</v>
      </c>
      <c r="K299" s="4"/>
      <c r="L299" s="4"/>
      <c r="M299" s="4"/>
      <c r="N299" s="4"/>
      <c r="O299" s="8"/>
      <c r="P299" s="4"/>
      <c r="Q299" s="4"/>
      <c r="R299" s="4"/>
      <c r="S299" s="4"/>
      <c r="T299" s="4"/>
      <c r="U299" s="88">
        <f>H299+I299+J299</f>
        <v>802800</v>
      </c>
      <c r="V299" s="91"/>
      <c r="W299" s="55"/>
      <c r="X299" s="55"/>
      <c r="Y299" s="53"/>
      <c r="Z299" s="53"/>
      <c r="AA299" s="65"/>
      <c r="AB299" s="65"/>
      <c r="AC299" s="65"/>
      <c r="AD299" s="65"/>
      <c r="AE299" s="65"/>
    </row>
    <row r="300" spans="1:31" x14ac:dyDescent="0.2">
      <c r="A300" s="4" t="s">
        <v>112</v>
      </c>
      <c r="B300" s="4"/>
      <c r="C300" s="4"/>
      <c r="D300" s="4"/>
      <c r="E300" s="4"/>
      <c r="F300" s="4"/>
      <c r="G300" s="4"/>
      <c r="H300" s="4">
        <f>672000/2</f>
        <v>336000</v>
      </c>
      <c r="I300" s="4">
        <f>48000*9/2</f>
        <v>216000</v>
      </c>
      <c r="J300" s="4">
        <f t="shared" ref="J300:J306" si="21">20000/2</f>
        <v>10000</v>
      </c>
      <c r="K300" s="4"/>
      <c r="L300" s="4"/>
      <c r="M300" s="4"/>
      <c r="N300" s="4"/>
      <c r="O300" s="8"/>
      <c r="P300" s="4"/>
      <c r="Q300" s="4"/>
      <c r="R300" s="4"/>
      <c r="S300" s="4"/>
      <c r="T300" s="4"/>
      <c r="U300" s="88">
        <f t="shared" ref="U300:U306" si="22">H300+I300+J300</f>
        <v>562000</v>
      </c>
      <c r="V300" s="91"/>
      <c r="W300" s="55"/>
      <c r="X300" s="55"/>
      <c r="Y300" s="53"/>
      <c r="Z300" s="53"/>
      <c r="AA300" s="65"/>
      <c r="AB300" s="65"/>
      <c r="AC300" s="65"/>
      <c r="AD300" s="65"/>
      <c r="AE300" s="65"/>
    </row>
    <row r="301" spans="1:31" x14ac:dyDescent="0.2">
      <c r="A301" s="4" t="s">
        <v>141</v>
      </c>
      <c r="B301" s="4"/>
      <c r="C301" s="4"/>
      <c r="D301" s="4"/>
      <c r="E301" s="4"/>
      <c r="F301" s="4"/>
      <c r="G301" s="4"/>
      <c r="H301" s="4">
        <f>884800/2</f>
        <v>442400</v>
      </c>
      <c r="I301" s="4">
        <f>48000*4/2</f>
        <v>96000</v>
      </c>
      <c r="J301" s="4">
        <f t="shared" si="21"/>
        <v>10000</v>
      </c>
      <c r="K301" s="4"/>
      <c r="L301" s="4"/>
      <c r="M301" s="4"/>
      <c r="N301" s="4"/>
      <c r="O301" s="8"/>
      <c r="P301" s="4"/>
      <c r="Q301" s="4"/>
      <c r="R301" s="4"/>
      <c r="S301" s="4"/>
      <c r="T301" s="4"/>
      <c r="U301" s="88">
        <f t="shared" si="22"/>
        <v>548400</v>
      </c>
      <c r="V301" s="91"/>
      <c r="W301" s="55"/>
      <c r="X301" s="55"/>
      <c r="Y301" s="53"/>
      <c r="Z301" s="53"/>
      <c r="AA301" s="65"/>
      <c r="AB301" s="65"/>
      <c r="AC301" s="65"/>
      <c r="AD301" s="65"/>
      <c r="AE301" s="65"/>
    </row>
    <row r="302" spans="1:31" x14ac:dyDescent="0.2">
      <c r="A302" s="4" t="s">
        <v>113</v>
      </c>
      <c r="B302" s="4"/>
      <c r="C302" s="4"/>
      <c r="D302" s="4"/>
      <c r="E302" s="4"/>
      <c r="F302" s="4"/>
      <c r="G302" s="4"/>
      <c r="H302" s="4">
        <f>683200/2</f>
        <v>341600</v>
      </c>
      <c r="I302" s="4">
        <f>48000*4/2</f>
        <v>96000</v>
      </c>
      <c r="J302" s="4">
        <f t="shared" si="21"/>
        <v>10000</v>
      </c>
      <c r="K302" s="4"/>
      <c r="L302" s="4"/>
      <c r="M302" s="4"/>
      <c r="N302" s="4"/>
      <c r="O302" s="8"/>
      <c r="P302" s="4"/>
      <c r="Q302" s="4"/>
      <c r="R302" s="4"/>
      <c r="S302" s="4"/>
      <c r="T302" s="4"/>
      <c r="U302" s="88">
        <f t="shared" si="22"/>
        <v>447600</v>
      </c>
      <c r="V302" s="91"/>
      <c r="W302" s="55"/>
      <c r="X302" s="55"/>
      <c r="Y302" s="53"/>
      <c r="Z302" s="53"/>
      <c r="AA302" s="65"/>
      <c r="AB302" s="65"/>
      <c r="AC302" s="65"/>
      <c r="AD302" s="65"/>
      <c r="AE302" s="65"/>
    </row>
    <row r="303" spans="1:31" x14ac:dyDescent="0.2">
      <c r="A303" s="4" t="s">
        <v>114</v>
      </c>
      <c r="B303" s="4"/>
      <c r="C303" s="4"/>
      <c r="D303" s="4"/>
      <c r="E303" s="4"/>
      <c r="F303" s="4"/>
      <c r="G303" s="4"/>
      <c r="H303" s="4">
        <f>896000/2</f>
        <v>448000</v>
      </c>
      <c r="I303" s="4">
        <f>48000*6/2</f>
        <v>144000</v>
      </c>
      <c r="J303" s="4">
        <f t="shared" si="21"/>
        <v>10000</v>
      </c>
      <c r="K303" s="4"/>
      <c r="L303" s="4"/>
      <c r="M303" s="4"/>
      <c r="N303" s="4"/>
      <c r="O303" s="8"/>
      <c r="P303" s="4"/>
      <c r="Q303" s="4"/>
      <c r="R303" s="4"/>
      <c r="S303" s="4"/>
      <c r="T303" s="4"/>
      <c r="U303" s="88">
        <f t="shared" si="22"/>
        <v>602000</v>
      </c>
      <c r="V303" s="91"/>
      <c r="W303" s="55"/>
      <c r="X303" s="55"/>
      <c r="Y303" s="53"/>
      <c r="Z303" s="53"/>
      <c r="AA303" s="65"/>
      <c r="AB303" s="65"/>
      <c r="AC303" s="65"/>
      <c r="AD303" s="65"/>
      <c r="AE303" s="65"/>
    </row>
    <row r="304" spans="1:31" x14ac:dyDescent="0.2">
      <c r="A304" s="4" t="s">
        <v>115</v>
      </c>
      <c r="B304" s="4"/>
      <c r="C304" s="4"/>
      <c r="D304" s="4"/>
      <c r="E304" s="4"/>
      <c r="F304" s="4"/>
      <c r="G304" s="4"/>
      <c r="H304" s="4">
        <f>257600/2</f>
        <v>128800</v>
      </c>
      <c r="I304" s="4">
        <f>48000*1/2</f>
        <v>24000</v>
      </c>
      <c r="J304" s="4">
        <f t="shared" si="21"/>
        <v>10000</v>
      </c>
      <c r="K304" s="4"/>
      <c r="L304" s="4"/>
      <c r="M304" s="4"/>
      <c r="N304" s="4"/>
      <c r="O304" s="8"/>
      <c r="P304" s="4"/>
      <c r="Q304" s="4"/>
      <c r="R304" s="4"/>
      <c r="S304" s="4"/>
      <c r="T304" s="4"/>
      <c r="U304" s="88">
        <f t="shared" si="22"/>
        <v>162800</v>
      </c>
      <c r="V304" s="91"/>
      <c r="W304" s="55"/>
      <c r="X304" s="55"/>
      <c r="Y304" s="53"/>
      <c r="Z304" s="53"/>
      <c r="AA304" s="65"/>
      <c r="AB304" s="65"/>
      <c r="AC304" s="65"/>
      <c r="AD304" s="65"/>
      <c r="AE304" s="65"/>
    </row>
    <row r="305" spans="1:31" x14ac:dyDescent="0.2">
      <c r="A305" s="4" t="s">
        <v>116</v>
      </c>
      <c r="B305" s="4"/>
      <c r="C305" s="4"/>
      <c r="D305" s="4"/>
      <c r="E305" s="4"/>
      <c r="F305" s="4"/>
      <c r="G305" s="4"/>
      <c r="H305" s="4">
        <f>280000/2</f>
        <v>140000</v>
      </c>
      <c r="I305" s="4">
        <f>48000*5/2</f>
        <v>120000</v>
      </c>
      <c r="J305" s="4">
        <f t="shared" si="21"/>
        <v>10000</v>
      </c>
      <c r="K305" s="4"/>
      <c r="L305" s="4"/>
      <c r="M305" s="4"/>
      <c r="N305" s="4"/>
      <c r="O305" s="8"/>
      <c r="P305" s="4"/>
      <c r="Q305" s="4"/>
      <c r="R305" s="4"/>
      <c r="S305" s="4"/>
      <c r="T305" s="4"/>
      <c r="U305" s="88">
        <f t="shared" si="22"/>
        <v>270000</v>
      </c>
      <c r="V305" s="91"/>
      <c r="W305" s="55"/>
      <c r="X305" s="55"/>
      <c r="Y305" s="53"/>
      <c r="Z305" s="53"/>
      <c r="AA305" s="65"/>
      <c r="AB305" s="65"/>
      <c r="AC305" s="65"/>
      <c r="AD305" s="65"/>
      <c r="AE305" s="65"/>
    </row>
    <row r="306" spans="1:31" x14ac:dyDescent="0.2">
      <c r="A306" s="4" t="s">
        <v>117</v>
      </c>
      <c r="B306" s="4"/>
      <c r="C306" s="4"/>
      <c r="D306" s="4"/>
      <c r="E306" s="4"/>
      <c r="F306" s="4"/>
      <c r="G306" s="4"/>
      <c r="H306" s="4">
        <f>884800/2</f>
        <v>442400</v>
      </c>
      <c r="I306" s="4">
        <f>48000*10/2</f>
        <v>240000</v>
      </c>
      <c r="J306" s="4">
        <f t="shared" si="21"/>
        <v>10000</v>
      </c>
      <c r="K306" s="4"/>
      <c r="L306" s="4"/>
      <c r="M306" s="4"/>
      <c r="N306" s="4"/>
      <c r="O306" s="8"/>
      <c r="P306" s="4"/>
      <c r="Q306" s="4"/>
      <c r="R306" s="4"/>
      <c r="S306" s="4"/>
      <c r="T306" s="4"/>
      <c r="U306" s="88">
        <f t="shared" si="22"/>
        <v>692400</v>
      </c>
      <c r="V306" s="91"/>
      <c r="W306" s="55"/>
      <c r="X306" s="55"/>
      <c r="Y306" s="53"/>
      <c r="Z306" s="53"/>
      <c r="AA306" s="65"/>
      <c r="AB306" s="65"/>
      <c r="AC306" s="65"/>
      <c r="AD306" s="65"/>
      <c r="AE306" s="65"/>
    </row>
    <row r="307" spans="1:31" x14ac:dyDescent="0.2">
      <c r="J307" s="5"/>
      <c r="N307" s="10"/>
      <c r="O307" s="10"/>
      <c r="U307" s="10"/>
      <c r="V307" s="66">
        <f>SUM(V299:V306)</f>
        <v>0</v>
      </c>
      <c r="W307" s="65"/>
      <c r="X307" s="65"/>
      <c r="Y307" s="65"/>
      <c r="Z307" s="65"/>
      <c r="AA307" s="65"/>
      <c r="AB307" s="65"/>
      <c r="AC307" s="65"/>
      <c r="AD307" s="65"/>
      <c r="AE307" s="65"/>
    </row>
    <row r="308" spans="1:31" ht="18.75" x14ac:dyDescent="0.3">
      <c r="A308" s="33" t="s">
        <v>151</v>
      </c>
      <c r="B308" s="33"/>
      <c r="C308" s="33"/>
      <c r="D308" s="33"/>
      <c r="E308" s="33"/>
      <c r="F308" s="33"/>
      <c r="G308" s="33"/>
      <c r="H308" s="44"/>
      <c r="I308" s="33"/>
      <c r="J308" s="33"/>
      <c r="K308" s="33"/>
      <c r="L308" s="33"/>
      <c r="M308" s="33"/>
      <c r="N308" s="44"/>
      <c r="O308" s="33"/>
      <c r="P308" s="33"/>
      <c r="Q308" s="33"/>
      <c r="R308" s="33"/>
      <c r="S308" s="33"/>
      <c r="T308" s="33"/>
      <c r="U308" s="43"/>
      <c r="V308" s="65"/>
      <c r="W308" s="65"/>
      <c r="X308" s="65"/>
      <c r="Y308" s="65"/>
      <c r="Z308" s="65"/>
      <c r="AA308" s="65"/>
      <c r="AB308" s="65"/>
      <c r="AC308" s="65"/>
      <c r="AD308" s="65"/>
      <c r="AE308" s="65"/>
    </row>
    <row r="309" spans="1:31" ht="14.25" x14ac:dyDescent="0.25">
      <c r="A309" s="50" t="s">
        <v>174</v>
      </c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65"/>
      <c r="W309" s="65"/>
      <c r="X309" s="65"/>
      <c r="Y309" s="65"/>
      <c r="Z309" s="65"/>
      <c r="AA309" s="65"/>
      <c r="AB309" s="65"/>
      <c r="AC309" s="65"/>
      <c r="AD309" s="65"/>
      <c r="AE309" s="65"/>
    </row>
    <row r="310" spans="1:31" ht="14.25" x14ac:dyDescent="0.25">
      <c r="A310" s="50" t="s">
        <v>177</v>
      </c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65"/>
      <c r="W310" s="65"/>
      <c r="X310" s="65"/>
      <c r="Y310" s="65"/>
      <c r="Z310" s="65"/>
      <c r="AA310" s="65"/>
      <c r="AB310" s="65"/>
      <c r="AC310" s="65"/>
      <c r="AD310" s="65"/>
      <c r="AE310" s="65"/>
    </row>
    <row r="311" spans="1:31" ht="14.25" x14ac:dyDescent="0.25">
      <c r="A311" s="50" t="s">
        <v>175</v>
      </c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65"/>
      <c r="W311" s="65"/>
      <c r="X311" s="65"/>
      <c r="Y311" s="65"/>
      <c r="Z311" s="65"/>
      <c r="AA311" s="65"/>
      <c r="AB311" s="65"/>
      <c r="AC311" s="65"/>
      <c r="AD311" s="65"/>
      <c r="AE311" s="65"/>
    </row>
    <row r="312" spans="1:31" ht="14.25" x14ac:dyDescent="0.25">
      <c r="A312" s="50" t="s">
        <v>178</v>
      </c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65"/>
      <c r="W312" s="65"/>
      <c r="X312" s="65"/>
      <c r="Y312" s="65"/>
      <c r="Z312" s="65"/>
      <c r="AA312" s="65"/>
      <c r="AB312" s="65"/>
      <c r="AC312" s="65"/>
      <c r="AD312" s="65"/>
      <c r="AE312" s="65"/>
    </row>
    <row r="313" spans="1:31" ht="14.25" x14ac:dyDescent="0.25">
      <c r="A313" s="50" t="s">
        <v>180</v>
      </c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65"/>
      <c r="W313" s="65"/>
      <c r="X313" s="65"/>
      <c r="Y313" s="65"/>
      <c r="Z313" s="65"/>
      <c r="AA313" s="65"/>
      <c r="AB313" s="65"/>
      <c r="AC313" s="65"/>
      <c r="AD313" s="65"/>
      <c r="AE313" s="65"/>
    </row>
    <row r="314" spans="1:31" ht="14.25" x14ac:dyDescent="0.25">
      <c r="A314" s="50" t="s">
        <v>179</v>
      </c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65"/>
      <c r="W314" s="65"/>
      <c r="X314" s="65"/>
      <c r="Y314" s="65"/>
      <c r="Z314" s="65"/>
      <c r="AA314" s="65"/>
      <c r="AB314" s="65"/>
      <c r="AC314" s="65"/>
      <c r="AD314" s="65"/>
      <c r="AE314" s="65"/>
    </row>
    <row r="315" spans="1:31" ht="14.25" x14ac:dyDescent="0.25">
      <c r="A315" s="50" t="s">
        <v>176</v>
      </c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65"/>
      <c r="W315" s="65"/>
      <c r="X315" s="65"/>
      <c r="Y315" s="65"/>
      <c r="Z315" s="65"/>
      <c r="AA315" s="65"/>
      <c r="AB315" s="65"/>
      <c r="AC315" s="65"/>
      <c r="AD315" s="65"/>
      <c r="AE315" s="65"/>
    </row>
    <row r="316" spans="1:31" ht="14.25" x14ac:dyDescent="0.25">
      <c r="A316" s="50" t="s">
        <v>182</v>
      </c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</row>
    <row r="317" spans="1:31" ht="14.25" x14ac:dyDescent="0.25">
      <c r="A317" s="50" t="s">
        <v>181</v>
      </c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</row>
    <row r="318" spans="1:31" ht="14.25" x14ac:dyDescent="0.25">
      <c r="A318" s="50" t="s">
        <v>166</v>
      </c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65"/>
      <c r="W318" s="65"/>
      <c r="X318" s="65"/>
      <c r="Y318" s="65"/>
      <c r="Z318" s="65"/>
      <c r="AA318" s="65"/>
      <c r="AB318" s="65"/>
      <c r="AC318" s="65"/>
      <c r="AD318" s="65"/>
      <c r="AE318" s="65"/>
    </row>
    <row r="319" spans="1:31" ht="14.25" x14ac:dyDescent="0.25">
      <c r="A319" s="50" t="s">
        <v>167</v>
      </c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65"/>
      <c r="W319" s="65"/>
      <c r="X319" s="65"/>
      <c r="Y319" s="65"/>
      <c r="Z319" s="65"/>
      <c r="AA319" s="65"/>
      <c r="AB319" s="65"/>
      <c r="AC319" s="65"/>
      <c r="AD319" s="65"/>
      <c r="AE319" s="65"/>
    </row>
    <row r="320" spans="1:31" x14ac:dyDescent="0.2">
      <c r="V320" s="65"/>
      <c r="W320" s="65"/>
      <c r="X320" s="65"/>
      <c r="Y320" s="65"/>
      <c r="Z320" s="65"/>
      <c r="AA320" s="65"/>
      <c r="AB320" s="65"/>
      <c r="AC320" s="65"/>
      <c r="AD320" s="65"/>
      <c r="AE320" s="65"/>
    </row>
    <row r="321" spans="1:31" ht="17.25" x14ac:dyDescent="0.3">
      <c r="A321" s="94" t="s">
        <v>184</v>
      </c>
      <c r="V321" s="65"/>
      <c r="W321" s="65"/>
      <c r="X321" s="65"/>
      <c r="Y321" s="65"/>
      <c r="Z321" s="65"/>
      <c r="AA321" s="65"/>
      <c r="AB321" s="65"/>
      <c r="AC321" s="65"/>
      <c r="AD321" s="65"/>
      <c r="AE321" s="65"/>
    </row>
    <row r="322" spans="1:31" x14ac:dyDescent="0.2">
      <c r="V322" s="65"/>
      <c r="W322" s="65"/>
      <c r="X322" s="65"/>
      <c r="Y322" s="65"/>
      <c r="Z322" s="65"/>
      <c r="AA322" s="65"/>
      <c r="AB322" s="65"/>
      <c r="AC322" s="65"/>
      <c r="AD322" s="65"/>
      <c r="AE322" s="65"/>
    </row>
    <row r="323" spans="1:31" x14ac:dyDescent="0.2">
      <c r="V323" s="65"/>
      <c r="W323" s="65"/>
      <c r="X323" s="65"/>
      <c r="Y323" s="65"/>
      <c r="Z323" s="65"/>
      <c r="AA323" s="65"/>
      <c r="AB323" s="65"/>
      <c r="AC323" s="65"/>
      <c r="AD323" s="65"/>
      <c r="AE323" s="65"/>
    </row>
    <row r="324" spans="1:31" x14ac:dyDescent="0.2">
      <c r="V324" s="65"/>
      <c r="W324" s="65"/>
      <c r="X324" s="65"/>
      <c r="Y324" s="65"/>
      <c r="Z324" s="65"/>
      <c r="AA324" s="65"/>
      <c r="AB324" s="65"/>
      <c r="AC324" s="65"/>
      <c r="AD324" s="65"/>
      <c r="AE324" s="65"/>
    </row>
    <row r="325" spans="1:31" x14ac:dyDescent="0.2">
      <c r="V325" s="65"/>
      <c r="W325" s="65"/>
      <c r="X325" s="65"/>
      <c r="Y325" s="65"/>
      <c r="Z325" s="65"/>
      <c r="AA325" s="65"/>
      <c r="AB325" s="65"/>
      <c r="AC325" s="65"/>
      <c r="AD325" s="65"/>
      <c r="AE325" s="65"/>
    </row>
    <row r="326" spans="1:31" x14ac:dyDescent="0.2">
      <c r="V326" s="65"/>
      <c r="W326" s="65"/>
      <c r="X326" s="65"/>
      <c r="Y326" s="65"/>
      <c r="Z326" s="65"/>
      <c r="AA326" s="65"/>
      <c r="AB326" s="65"/>
      <c r="AC326" s="65"/>
      <c r="AD326" s="65"/>
      <c r="AE326" s="65"/>
    </row>
    <row r="327" spans="1:31" x14ac:dyDescent="0.2"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</row>
    <row r="328" spans="1:31" x14ac:dyDescent="0.2"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</row>
    <row r="329" spans="1:31" x14ac:dyDescent="0.2"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</row>
    <row r="330" spans="1:31" x14ac:dyDescent="0.2">
      <c r="V330" s="65"/>
      <c r="W330" s="65"/>
      <c r="X330" s="65"/>
      <c r="Y330" s="65"/>
      <c r="Z330" s="65"/>
      <c r="AA330" s="65"/>
      <c r="AB330" s="65"/>
      <c r="AC330" s="65"/>
      <c r="AD330" s="65"/>
      <c r="AE330" s="65"/>
    </row>
    <row r="331" spans="1:31" x14ac:dyDescent="0.2"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</row>
    <row r="332" spans="1:31" x14ac:dyDescent="0.2">
      <c r="A332" s="6" t="s">
        <v>9</v>
      </c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</row>
    <row r="333" spans="1:31" x14ac:dyDescent="0.2">
      <c r="A333" s="14" t="s">
        <v>0</v>
      </c>
      <c r="B333" s="14" t="s">
        <v>46</v>
      </c>
      <c r="C333" s="14" t="s">
        <v>26</v>
      </c>
      <c r="D333" s="14" t="s">
        <v>46</v>
      </c>
      <c r="E333" s="14" t="s">
        <v>28</v>
      </c>
      <c r="F333" s="14" t="s">
        <v>43</v>
      </c>
      <c r="G333" s="14" t="s">
        <v>43</v>
      </c>
      <c r="H333" s="14" t="s">
        <v>14</v>
      </c>
      <c r="I333" s="14" t="s">
        <v>138</v>
      </c>
      <c r="J333" s="14" t="s">
        <v>30</v>
      </c>
      <c r="K333" s="14" t="s">
        <v>135</v>
      </c>
      <c r="L333" s="14" t="s">
        <v>13</v>
      </c>
      <c r="M333" s="14" t="s">
        <v>13</v>
      </c>
      <c r="N333" s="14" t="s">
        <v>31</v>
      </c>
      <c r="O333" s="14" t="s">
        <v>33</v>
      </c>
      <c r="P333" s="14" t="s">
        <v>33</v>
      </c>
      <c r="Q333" s="14" t="s">
        <v>145</v>
      </c>
      <c r="R333" s="14" t="s">
        <v>35</v>
      </c>
      <c r="S333" s="34" t="s">
        <v>37</v>
      </c>
      <c r="T333" s="14" t="s">
        <v>39</v>
      </c>
      <c r="U333" s="14" t="s">
        <v>41</v>
      </c>
      <c r="V333" s="53"/>
      <c r="W333" s="52"/>
      <c r="X333" s="52"/>
      <c r="Y333" s="53"/>
      <c r="Z333" s="53"/>
      <c r="AA333" s="65"/>
      <c r="AB333" s="65"/>
      <c r="AC333" s="65"/>
      <c r="AD333" s="65"/>
      <c r="AE333" s="65"/>
    </row>
    <row r="334" spans="1:31" ht="13.5" thickBot="1" x14ac:dyDescent="0.25">
      <c r="A334" s="18"/>
      <c r="B334" s="18" t="s">
        <v>48</v>
      </c>
      <c r="C334" s="18" t="s">
        <v>27</v>
      </c>
      <c r="D334" s="18" t="s">
        <v>47</v>
      </c>
      <c r="E334" s="18" t="s">
        <v>29</v>
      </c>
      <c r="F334" s="18" t="s">
        <v>44</v>
      </c>
      <c r="G334" s="18" t="s">
        <v>45</v>
      </c>
      <c r="H334" s="21" t="s">
        <v>137</v>
      </c>
      <c r="I334" s="18" t="s">
        <v>139</v>
      </c>
      <c r="J334" s="18" t="s">
        <v>146</v>
      </c>
      <c r="K334" s="18" t="s">
        <v>136</v>
      </c>
      <c r="L334" s="18" t="s">
        <v>134</v>
      </c>
      <c r="M334" s="18" t="s">
        <v>160</v>
      </c>
      <c r="N334" s="18" t="s">
        <v>32</v>
      </c>
      <c r="O334" s="18" t="s">
        <v>34</v>
      </c>
      <c r="P334" s="18" t="s">
        <v>133</v>
      </c>
      <c r="Q334" s="42" t="s">
        <v>144</v>
      </c>
      <c r="R334" s="18" t="s">
        <v>36</v>
      </c>
      <c r="S334" s="35" t="s">
        <v>38</v>
      </c>
      <c r="T334" s="18" t="s">
        <v>40</v>
      </c>
      <c r="U334" s="18" t="s">
        <v>42</v>
      </c>
      <c r="V334" s="53"/>
      <c r="W334" s="52"/>
      <c r="X334" s="52"/>
      <c r="Y334" s="53"/>
      <c r="Z334" s="53"/>
      <c r="AA334" s="65"/>
      <c r="AB334" s="65"/>
      <c r="AC334" s="65"/>
      <c r="AD334" s="65"/>
      <c r="AE334" s="65"/>
    </row>
    <row r="335" spans="1:31" ht="13.5" thickBot="1" x14ac:dyDescent="0.25">
      <c r="A335" s="24" t="s">
        <v>24</v>
      </c>
      <c r="B335" s="25"/>
      <c r="C335" s="25"/>
      <c r="D335" s="25"/>
      <c r="E335" s="25"/>
      <c r="F335" s="25"/>
      <c r="G335" s="25"/>
      <c r="H335" s="27">
        <f>H337+H338+H339+H340+H341+H342+H343</f>
        <v>3281600</v>
      </c>
      <c r="I335" s="27">
        <f>I337+I338+I339+I340+I341+I342+I343</f>
        <v>1080000</v>
      </c>
      <c r="J335" s="27">
        <f>J336+J337+J338+J339+J340+J341+J342+J343</f>
        <v>100000</v>
      </c>
      <c r="K335" s="25"/>
      <c r="L335" s="25"/>
      <c r="M335" s="25"/>
      <c r="N335" s="27"/>
      <c r="O335" s="27"/>
      <c r="P335" s="25"/>
      <c r="Q335" s="29"/>
      <c r="R335" s="25"/>
      <c r="S335" s="25"/>
      <c r="T335" s="25"/>
      <c r="U335" s="31">
        <f>H335+I335+J335+N335+O335</f>
        <v>4461600</v>
      </c>
      <c r="V335" s="53"/>
      <c r="W335" s="54"/>
      <c r="X335" s="54"/>
      <c r="Y335" s="53"/>
      <c r="Z335" s="53"/>
      <c r="AA335" s="65"/>
      <c r="AB335" s="65"/>
      <c r="AC335" s="65"/>
      <c r="AD335" s="65"/>
      <c r="AE335" s="65"/>
    </row>
    <row r="336" spans="1:31" x14ac:dyDescent="0.2">
      <c r="A336" s="19" t="s">
        <v>9</v>
      </c>
      <c r="B336" s="19"/>
      <c r="C336" s="19"/>
      <c r="D336" s="19"/>
      <c r="E336" s="19"/>
      <c r="F336" s="19"/>
      <c r="G336" s="19"/>
      <c r="H336" s="23"/>
      <c r="I336" s="73"/>
      <c r="J336" s="19">
        <f>60000/2</f>
        <v>30000</v>
      </c>
      <c r="K336" s="19"/>
      <c r="L336" s="19"/>
      <c r="M336" s="19"/>
      <c r="N336" s="23"/>
      <c r="O336" s="23"/>
      <c r="P336" s="19"/>
      <c r="Q336" s="23"/>
      <c r="R336" s="19"/>
      <c r="S336" s="19"/>
      <c r="T336" s="19"/>
      <c r="U336" s="39">
        <f t="shared" ref="U336" si="23">H336+I336+J336+N336+O336</f>
        <v>30000</v>
      </c>
      <c r="V336" s="53"/>
      <c r="W336" s="55"/>
      <c r="X336" s="55"/>
      <c r="Y336" s="53"/>
      <c r="Z336" s="53"/>
      <c r="AA336" s="65"/>
      <c r="AB336" s="65"/>
      <c r="AC336" s="65"/>
      <c r="AD336" s="65"/>
      <c r="AE336" s="65"/>
    </row>
    <row r="337" spans="1:31" x14ac:dyDescent="0.2">
      <c r="A337" s="4" t="s">
        <v>118</v>
      </c>
      <c r="B337" s="4"/>
      <c r="C337" s="4"/>
      <c r="D337" s="4"/>
      <c r="E337" s="4"/>
      <c r="F337" s="4"/>
      <c r="G337" s="4"/>
      <c r="H337" s="4">
        <f>(11*56000)/2+(1*44800)/2+(1*33600)/2</f>
        <v>347200</v>
      </c>
      <c r="I337" s="76">
        <f>48000*8/2</f>
        <v>192000</v>
      </c>
      <c r="J337" s="4">
        <f>20000/2</f>
        <v>10000</v>
      </c>
      <c r="K337" s="4"/>
      <c r="L337" s="4"/>
      <c r="M337" s="4"/>
      <c r="N337" s="4"/>
      <c r="O337" s="8"/>
      <c r="P337" s="4"/>
      <c r="Q337" s="4"/>
      <c r="R337" s="4"/>
      <c r="S337" s="4"/>
      <c r="T337" s="4"/>
      <c r="U337" s="40">
        <f>H337+I337+J337</f>
        <v>549200</v>
      </c>
      <c r="V337" s="45"/>
      <c r="W337" s="55"/>
      <c r="X337" s="55"/>
      <c r="Y337" s="53"/>
      <c r="Z337" s="53"/>
      <c r="AA337" s="65"/>
      <c r="AB337" s="65"/>
      <c r="AC337" s="65"/>
      <c r="AD337" s="65"/>
      <c r="AE337" s="65"/>
    </row>
    <row r="338" spans="1:31" x14ac:dyDescent="0.2">
      <c r="A338" s="4" t="s">
        <v>119</v>
      </c>
      <c r="B338" s="4"/>
      <c r="C338" s="4"/>
      <c r="D338" s="4"/>
      <c r="E338" s="4"/>
      <c r="F338" s="4"/>
      <c r="G338" s="4"/>
      <c r="H338" s="4">
        <f>862400/2</f>
        <v>431200</v>
      </c>
      <c r="I338" s="76">
        <f>48000*3/2</f>
        <v>72000</v>
      </c>
      <c r="J338" s="4">
        <f t="shared" ref="J338:J343" si="24">20000/2</f>
        <v>10000</v>
      </c>
      <c r="K338" s="4"/>
      <c r="L338" s="4"/>
      <c r="M338" s="4"/>
      <c r="N338" s="4"/>
      <c r="O338" s="8"/>
      <c r="P338" s="4"/>
      <c r="Q338" s="4"/>
      <c r="R338" s="4"/>
      <c r="S338" s="4"/>
      <c r="T338" s="4"/>
      <c r="U338" s="40">
        <f t="shared" ref="U338:U343" si="25">H338+I338+J338</f>
        <v>513200</v>
      </c>
      <c r="V338" s="45"/>
      <c r="W338" s="55"/>
      <c r="X338" s="55"/>
      <c r="Y338" s="53"/>
      <c r="Z338" s="53"/>
      <c r="AA338" s="65"/>
      <c r="AB338" s="65"/>
      <c r="AC338" s="65"/>
      <c r="AD338" s="65"/>
      <c r="AE338" s="65"/>
    </row>
    <row r="339" spans="1:31" x14ac:dyDescent="0.2">
      <c r="A339" s="4" t="s">
        <v>120</v>
      </c>
      <c r="B339" s="4"/>
      <c r="C339" s="4"/>
      <c r="D339" s="4"/>
      <c r="E339" s="4"/>
      <c r="F339" s="4"/>
      <c r="G339" s="4"/>
      <c r="H339" s="4">
        <f>1702400/2</f>
        <v>851200</v>
      </c>
      <c r="I339" s="76">
        <f>48000*9/2</f>
        <v>216000</v>
      </c>
      <c r="J339" s="4">
        <f t="shared" si="24"/>
        <v>10000</v>
      </c>
      <c r="K339" s="4"/>
      <c r="L339" s="4"/>
      <c r="M339" s="4"/>
      <c r="N339" s="4"/>
      <c r="O339" s="8"/>
      <c r="P339" s="4"/>
      <c r="Q339" s="4"/>
      <c r="R339" s="4"/>
      <c r="S339" s="4"/>
      <c r="T339" s="4"/>
      <c r="U339" s="40">
        <f t="shared" si="25"/>
        <v>1077200</v>
      </c>
      <c r="V339" s="45"/>
      <c r="W339" s="55"/>
      <c r="X339" s="55"/>
      <c r="Y339" s="53"/>
      <c r="Z339" s="53"/>
      <c r="AA339" s="65"/>
      <c r="AB339" s="65"/>
      <c r="AC339" s="65"/>
      <c r="AD339" s="65"/>
      <c r="AE339" s="65"/>
    </row>
    <row r="340" spans="1:31" x14ac:dyDescent="0.2">
      <c r="A340" s="4" t="s">
        <v>121</v>
      </c>
      <c r="B340" s="4"/>
      <c r="C340" s="4"/>
      <c r="D340" s="4"/>
      <c r="E340" s="4"/>
      <c r="F340" s="4"/>
      <c r="G340" s="4"/>
      <c r="H340" s="4">
        <f>660800/2</f>
        <v>330400</v>
      </c>
      <c r="I340" s="76">
        <f>48000*4/2</f>
        <v>96000</v>
      </c>
      <c r="J340" s="4">
        <f t="shared" si="24"/>
        <v>10000</v>
      </c>
      <c r="K340" s="4"/>
      <c r="L340" s="4"/>
      <c r="M340" s="4"/>
      <c r="N340" s="4"/>
      <c r="O340" s="8"/>
      <c r="P340" s="4"/>
      <c r="Q340" s="4"/>
      <c r="R340" s="4"/>
      <c r="S340" s="4"/>
      <c r="T340" s="4"/>
      <c r="U340" s="40">
        <f t="shared" si="25"/>
        <v>436400</v>
      </c>
      <c r="V340" s="45"/>
      <c r="W340" s="55"/>
      <c r="X340" s="55"/>
      <c r="Y340" s="53"/>
      <c r="Z340" s="53"/>
      <c r="AA340" s="65"/>
      <c r="AB340" s="65"/>
      <c r="AC340" s="65"/>
      <c r="AD340" s="65"/>
      <c r="AE340" s="65"/>
    </row>
    <row r="341" spans="1:31" x14ac:dyDescent="0.2">
      <c r="A341" s="4" t="s">
        <v>122</v>
      </c>
      <c r="B341" s="4"/>
      <c r="C341" s="4"/>
      <c r="D341" s="4"/>
      <c r="E341" s="4"/>
      <c r="F341" s="4"/>
      <c r="G341" s="4"/>
      <c r="H341" s="4">
        <f>616000/2</f>
        <v>308000</v>
      </c>
      <c r="I341" s="76">
        <f>48000*7/2</f>
        <v>168000</v>
      </c>
      <c r="J341" s="4">
        <f t="shared" si="24"/>
        <v>10000</v>
      </c>
      <c r="K341" s="4"/>
      <c r="L341" s="4"/>
      <c r="M341" s="4"/>
      <c r="N341" s="4"/>
      <c r="O341" s="8"/>
      <c r="P341" s="4"/>
      <c r="Q341" s="4"/>
      <c r="R341" s="4"/>
      <c r="S341" s="4"/>
      <c r="T341" s="4"/>
      <c r="U341" s="40">
        <f t="shared" si="25"/>
        <v>486000</v>
      </c>
      <c r="V341" s="45"/>
      <c r="W341" s="55"/>
      <c r="X341" s="55"/>
      <c r="Y341" s="53"/>
      <c r="Z341" s="53"/>
      <c r="AA341" s="65"/>
      <c r="AB341" s="65"/>
      <c r="AC341" s="65"/>
      <c r="AD341" s="65"/>
      <c r="AE341" s="65"/>
    </row>
    <row r="342" spans="1:31" x14ac:dyDescent="0.2">
      <c r="A342" s="4" t="s">
        <v>123</v>
      </c>
      <c r="B342" s="4"/>
      <c r="C342" s="4"/>
      <c r="D342" s="4"/>
      <c r="E342" s="4"/>
      <c r="F342" s="4"/>
      <c r="G342" s="4"/>
      <c r="H342" s="4">
        <f>481600/2</f>
        <v>240800</v>
      </c>
      <c r="I342" s="76">
        <f>48000*1/2</f>
        <v>24000</v>
      </c>
      <c r="J342" s="4">
        <f t="shared" si="24"/>
        <v>10000</v>
      </c>
      <c r="K342" s="4"/>
      <c r="L342" s="4"/>
      <c r="M342" s="4"/>
      <c r="N342" s="4"/>
      <c r="O342" s="8"/>
      <c r="P342" s="4"/>
      <c r="Q342" s="4"/>
      <c r="R342" s="4"/>
      <c r="S342" s="4"/>
      <c r="T342" s="4"/>
      <c r="U342" s="40">
        <f t="shared" si="25"/>
        <v>274800</v>
      </c>
      <c r="V342" s="45"/>
      <c r="W342" s="55"/>
      <c r="X342" s="55"/>
      <c r="Y342" s="53"/>
      <c r="Z342" s="53"/>
      <c r="AA342" s="65"/>
      <c r="AB342" s="65"/>
      <c r="AC342" s="65"/>
      <c r="AD342" s="65"/>
      <c r="AE342" s="65"/>
    </row>
    <row r="343" spans="1:31" x14ac:dyDescent="0.2">
      <c r="A343" s="4" t="s">
        <v>124</v>
      </c>
      <c r="B343" s="4"/>
      <c r="C343" s="4"/>
      <c r="D343" s="4"/>
      <c r="E343" s="4"/>
      <c r="F343" s="4"/>
      <c r="G343" s="4"/>
      <c r="H343" s="4">
        <f>(26*56000)/2+(2*44800)/2+(0*33600)/2</f>
        <v>772800</v>
      </c>
      <c r="I343" s="76">
        <f>48000*13/2</f>
        <v>312000</v>
      </c>
      <c r="J343" s="4">
        <f t="shared" si="24"/>
        <v>10000</v>
      </c>
      <c r="K343" s="4"/>
      <c r="L343" s="4"/>
      <c r="M343" s="4"/>
      <c r="N343" s="4"/>
      <c r="O343" s="8"/>
      <c r="P343" s="4"/>
      <c r="Q343" s="4"/>
      <c r="R343" s="4"/>
      <c r="S343" s="4"/>
      <c r="T343" s="4"/>
      <c r="U343" s="40">
        <f t="shared" si="25"/>
        <v>1094800</v>
      </c>
      <c r="V343" s="45"/>
      <c r="W343" s="55"/>
      <c r="X343" s="55"/>
      <c r="Y343" s="53"/>
      <c r="Z343" s="53"/>
      <c r="AA343" s="65"/>
      <c r="AB343" s="65"/>
      <c r="AC343" s="65"/>
      <c r="AD343" s="65"/>
      <c r="AE343" s="65"/>
    </row>
    <row r="344" spans="1:31" x14ac:dyDescent="0.2">
      <c r="J344" s="5"/>
      <c r="N344" s="12"/>
      <c r="O344" s="10"/>
      <c r="U344" s="10"/>
      <c r="V344" s="56"/>
      <c r="W344" s="53"/>
      <c r="X344" s="53"/>
      <c r="Y344" s="53"/>
      <c r="Z344" s="53"/>
      <c r="AA344" s="65"/>
      <c r="AB344" s="65"/>
      <c r="AC344" s="65"/>
      <c r="AD344" s="65"/>
      <c r="AE344" s="65"/>
    </row>
    <row r="345" spans="1:31" ht="18.75" x14ac:dyDescent="0.3">
      <c r="A345" s="33" t="s">
        <v>151</v>
      </c>
      <c r="B345" s="33"/>
      <c r="C345" s="33"/>
      <c r="D345" s="33"/>
      <c r="E345" s="33"/>
      <c r="F345" s="33"/>
      <c r="G345" s="33"/>
      <c r="H345" s="44"/>
      <c r="I345" s="33"/>
      <c r="J345" s="33"/>
      <c r="K345" s="33"/>
      <c r="L345" s="33"/>
      <c r="M345" s="33"/>
      <c r="N345" s="44"/>
      <c r="O345" s="33"/>
      <c r="P345" s="33"/>
      <c r="Q345" s="33"/>
      <c r="R345" s="33"/>
      <c r="S345" s="33"/>
      <c r="T345" s="33"/>
      <c r="U345" s="43"/>
      <c r="V345" s="53"/>
      <c r="W345" s="53"/>
      <c r="X345" s="53"/>
      <c r="Y345" s="53"/>
      <c r="Z345" s="53"/>
      <c r="AA345" s="65"/>
      <c r="AB345" s="65"/>
      <c r="AC345" s="65"/>
      <c r="AD345" s="65"/>
      <c r="AE345" s="65"/>
    </row>
    <row r="346" spans="1:31" ht="14.25" x14ac:dyDescent="0.25">
      <c r="A346" s="50" t="s">
        <v>174</v>
      </c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</row>
    <row r="347" spans="1:31" ht="14.25" x14ac:dyDescent="0.25">
      <c r="A347" s="50" t="s">
        <v>177</v>
      </c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65"/>
      <c r="W347" s="65"/>
      <c r="X347" s="65"/>
      <c r="Y347" s="65"/>
      <c r="Z347" s="65"/>
      <c r="AA347" s="65"/>
      <c r="AB347" s="65"/>
      <c r="AC347" s="65"/>
      <c r="AD347" s="65"/>
      <c r="AE347" s="65"/>
    </row>
    <row r="348" spans="1:31" ht="14.25" x14ac:dyDescent="0.25">
      <c r="A348" s="50" t="s">
        <v>175</v>
      </c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65"/>
      <c r="W348" s="65"/>
      <c r="X348" s="65"/>
      <c r="Y348" s="65"/>
      <c r="Z348" s="65"/>
      <c r="AA348" s="65"/>
      <c r="AB348" s="65"/>
      <c r="AC348" s="65"/>
      <c r="AD348" s="65"/>
      <c r="AE348" s="65"/>
    </row>
    <row r="349" spans="1:31" ht="14.25" x14ac:dyDescent="0.25">
      <c r="A349" s="50" t="s">
        <v>178</v>
      </c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</row>
    <row r="350" spans="1:31" ht="14.25" x14ac:dyDescent="0.25">
      <c r="A350" s="50" t="s">
        <v>180</v>
      </c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</row>
    <row r="351" spans="1:31" ht="14.25" x14ac:dyDescent="0.25">
      <c r="A351" s="50" t="s">
        <v>179</v>
      </c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</row>
    <row r="352" spans="1:31" ht="14.25" x14ac:dyDescent="0.25">
      <c r="A352" s="50" t="s">
        <v>176</v>
      </c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65"/>
      <c r="W352" s="65"/>
      <c r="X352" s="65"/>
      <c r="Y352" s="65"/>
      <c r="Z352" s="65"/>
      <c r="AA352" s="65"/>
      <c r="AB352" s="65"/>
      <c r="AC352" s="65"/>
      <c r="AD352" s="65"/>
      <c r="AE352" s="65"/>
    </row>
    <row r="353" spans="1:31" ht="14.25" x14ac:dyDescent="0.25">
      <c r="A353" s="50" t="s">
        <v>182</v>
      </c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65"/>
      <c r="W353" s="65"/>
      <c r="X353" s="65"/>
      <c r="Y353" s="65"/>
      <c r="Z353" s="65"/>
      <c r="AA353" s="65"/>
      <c r="AB353" s="65"/>
      <c r="AC353" s="65"/>
      <c r="AD353" s="65"/>
      <c r="AE353" s="65"/>
    </row>
    <row r="354" spans="1:31" ht="14.25" x14ac:dyDescent="0.25">
      <c r="A354" s="50" t="s">
        <v>181</v>
      </c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</row>
    <row r="355" spans="1:31" ht="14.25" x14ac:dyDescent="0.25">
      <c r="A355" s="50" t="s">
        <v>166</v>
      </c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65"/>
      <c r="W355" s="65"/>
      <c r="X355" s="65"/>
      <c r="Y355" s="65"/>
      <c r="Z355" s="65"/>
      <c r="AA355" s="65"/>
      <c r="AB355" s="65"/>
      <c r="AC355" s="65"/>
      <c r="AD355" s="65"/>
      <c r="AE355" s="65"/>
    </row>
    <row r="356" spans="1:31" ht="14.25" x14ac:dyDescent="0.25">
      <c r="A356" s="50" t="s">
        <v>167</v>
      </c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65"/>
      <c r="W356" s="65"/>
      <c r="X356" s="65"/>
      <c r="Y356" s="65"/>
      <c r="Z356" s="65"/>
      <c r="AA356" s="65"/>
      <c r="AB356" s="65"/>
      <c r="AC356" s="65"/>
      <c r="AD356" s="65"/>
      <c r="AE356" s="65"/>
    </row>
    <row r="357" spans="1:31" x14ac:dyDescent="0.2">
      <c r="V357" s="65"/>
      <c r="W357" s="65"/>
      <c r="X357" s="65"/>
      <c r="Y357" s="65"/>
      <c r="Z357" s="65"/>
      <c r="AA357" s="65"/>
      <c r="AB357" s="65"/>
      <c r="AC357" s="65"/>
      <c r="AD357" s="65"/>
      <c r="AE357" s="65"/>
    </row>
    <row r="358" spans="1:31" ht="17.25" x14ac:dyDescent="0.3">
      <c r="A358" s="94" t="s">
        <v>184</v>
      </c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</row>
    <row r="359" spans="1:31" x14ac:dyDescent="0.2"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</row>
    <row r="360" spans="1:31" x14ac:dyDescent="0.2">
      <c r="V360" s="65"/>
      <c r="W360" s="65"/>
      <c r="X360" s="65"/>
      <c r="Y360" s="65"/>
      <c r="Z360" s="65"/>
      <c r="AA360" s="65"/>
      <c r="AB360" s="65"/>
      <c r="AC360" s="65"/>
      <c r="AD360" s="65"/>
      <c r="AE360" s="65"/>
    </row>
    <row r="361" spans="1:31" x14ac:dyDescent="0.2">
      <c r="V361" s="65"/>
      <c r="W361" s="65"/>
      <c r="X361" s="65"/>
      <c r="Y361" s="65"/>
      <c r="Z361" s="65"/>
      <c r="AA361" s="65"/>
      <c r="AB361" s="65"/>
      <c r="AC361" s="65"/>
      <c r="AD361" s="65"/>
      <c r="AE361" s="65"/>
    </row>
    <row r="362" spans="1:31" x14ac:dyDescent="0.2">
      <c r="V362" s="65"/>
      <c r="W362" s="65"/>
      <c r="X362" s="65"/>
      <c r="Y362" s="65"/>
      <c r="Z362" s="65"/>
      <c r="AA362" s="65"/>
      <c r="AB362" s="65"/>
      <c r="AC362" s="65"/>
      <c r="AD362" s="65"/>
      <c r="AE362" s="65"/>
    </row>
    <row r="363" spans="1:31" x14ac:dyDescent="0.2">
      <c r="V363" s="65"/>
      <c r="W363" s="65"/>
      <c r="X363" s="65"/>
      <c r="Y363" s="65"/>
      <c r="Z363" s="65"/>
      <c r="AA363" s="65"/>
      <c r="AB363" s="65"/>
      <c r="AC363" s="65"/>
      <c r="AD363" s="65"/>
      <c r="AE363" s="65"/>
    </row>
    <row r="364" spans="1:31" x14ac:dyDescent="0.2"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</row>
    <row r="365" spans="1:31" x14ac:dyDescent="0.2"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</row>
    <row r="366" spans="1:31" x14ac:dyDescent="0.2"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</row>
    <row r="367" spans="1:31" x14ac:dyDescent="0.2">
      <c r="V367" s="65"/>
      <c r="W367" s="65"/>
      <c r="X367" s="65"/>
      <c r="Y367" s="65"/>
      <c r="Z367" s="65"/>
      <c r="AA367" s="65"/>
      <c r="AB367" s="65"/>
      <c r="AC367" s="65"/>
      <c r="AD367" s="65"/>
      <c r="AE367" s="65"/>
    </row>
    <row r="368" spans="1:31" x14ac:dyDescent="0.2">
      <c r="A368" s="6" t="s">
        <v>10</v>
      </c>
      <c r="U368" s="92"/>
      <c r="V368" s="65"/>
      <c r="W368" s="65"/>
      <c r="X368" s="65"/>
      <c r="Y368" s="65"/>
      <c r="Z368" s="65"/>
      <c r="AA368" s="65"/>
      <c r="AB368" s="65"/>
      <c r="AC368" s="65"/>
      <c r="AD368" s="65"/>
      <c r="AE368" s="65"/>
    </row>
    <row r="369" spans="1:31" x14ac:dyDescent="0.2">
      <c r="A369" s="14" t="s">
        <v>0</v>
      </c>
      <c r="B369" s="14" t="s">
        <v>46</v>
      </c>
      <c r="C369" s="14" t="s">
        <v>26</v>
      </c>
      <c r="D369" s="14" t="s">
        <v>46</v>
      </c>
      <c r="E369" s="14" t="s">
        <v>28</v>
      </c>
      <c r="F369" s="14" t="s">
        <v>43</v>
      </c>
      <c r="G369" s="14" t="s">
        <v>43</v>
      </c>
      <c r="H369" s="14" t="s">
        <v>14</v>
      </c>
      <c r="I369" s="14" t="s">
        <v>138</v>
      </c>
      <c r="J369" s="14" t="s">
        <v>30</v>
      </c>
      <c r="K369" s="14" t="s">
        <v>135</v>
      </c>
      <c r="L369" s="14" t="s">
        <v>13</v>
      </c>
      <c r="M369" s="14" t="s">
        <v>13</v>
      </c>
      <c r="N369" s="14" t="s">
        <v>31</v>
      </c>
      <c r="O369" s="14" t="s">
        <v>33</v>
      </c>
      <c r="P369" s="14" t="s">
        <v>33</v>
      </c>
      <c r="Q369" s="14" t="s">
        <v>145</v>
      </c>
      <c r="R369" s="14" t="s">
        <v>35</v>
      </c>
      <c r="S369" s="34" t="s">
        <v>37</v>
      </c>
      <c r="T369" s="14" t="s">
        <v>39</v>
      </c>
      <c r="U369" s="14" t="s">
        <v>41</v>
      </c>
      <c r="V369" s="53"/>
      <c r="W369" s="52"/>
      <c r="X369" s="52"/>
      <c r="Y369" s="53"/>
      <c r="Z369" s="65"/>
      <c r="AA369" s="65"/>
      <c r="AB369" s="65"/>
      <c r="AC369" s="65"/>
      <c r="AD369" s="65"/>
      <c r="AE369" s="65"/>
    </row>
    <row r="370" spans="1:31" ht="13.5" thickBot="1" x14ac:dyDescent="0.25">
      <c r="A370" s="18"/>
      <c r="B370" s="18" t="s">
        <v>48</v>
      </c>
      <c r="C370" s="18" t="s">
        <v>27</v>
      </c>
      <c r="D370" s="18" t="s">
        <v>47</v>
      </c>
      <c r="E370" s="18" t="s">
        <v>29</v>
      </c>
      <c r="F370" s="18" t="s">
        <v>44</v>
      </c>
      <c r="G370" s="18" t="s">
        <v>45</v>
      </c>
      <c r="H370" s="21" t="s">
        <v>137</v>
      </c>
      <c r="I370" s="18" t="s">
        <v>139</v>
      </c>
      <c r="J370" s="18" t="s">
        <v>146</v>
      </c>
      <c r="K370" s="18" t="s">
        <v>136</v>
      </c>
      <c r="L370" s="18" t="s">
        <v>134</v>
      </c>
      <c r="M370" s="18" t="s">
        <v>160</v>
      </c>
      <c r="N370" s="18" t="s">
        <v>32</v>
      </c>
      <c r="O370" s="18" t="s">
        <v>34</v>
      </c>
      <c r="P370" s="18" t="s">
        <v>133</v>
      </c>
      <c r="Q370" s="42" t="s">
        <v>144</v>
      </c>
      <c r="R370" s="18" t="s">
        <v>36</v>
      </c>
      <c r="S370" s="35" t="s">
        <v>38</v>
      </c>
      <c r="T370" s="18" t="s">
        <v>40</v>
      </c>
      <c r="U370" s="18" t="s">
        <v>42</v>
      </c>
      <c r="V370" s="53"/>
      <c r="W370" s="52"/>
      <c r="X370" s="52"/>
      <c r="Y370" s="53"/>
      <c r="Z370" s="65"/>
      <c r="AA370" s="65"/>
      <c r="AB370" s="65"/>
      <c r="AC370" s="65"/>
      <c r="AD370" s="65"/>
      <c r="AE370" s="65"/>
    </row>
    <row r="371" spans="1:31" ht="13.5" thickBot="1" x14ac:dyDescent="0.25">
      <c r="A371" s="24" t="s">
        <v>25</v>
      </c>
      <c r="B371" s="25"/>
      <c r="C371" s="25"/>
      <c r="D371" s="25"/>
      <c r="E371" s="25"/>
      <c r="F371" s="25"/>
      <c r="G371" s="25"/>
      <c r="H371" s="27">
        <f>H373+H374+H375+H376+H377+H378+H379</f>
        <v>3304000</v>
      </c>
      <c r="I371" s="27">
        <f>I373+I374+I375+I376+I377+I378+I379</f>
        <v>1224000</v>
      </c>
      <c r="J371" s="31">
        <f>J372+J373+J374+J375+J376+J377+J378+J379</f>
        <v>100000</v>
      </c>
      <c r="K371" s="25"/>
      <c r="L371" s="25"/>
      <c r="M371" s="25"/>
      <c r="N371" s="27"/>
      <c r="O371" s="27"/>
      <c r="P371" s="25"/>
      <c r="Q371" s="29"/>
      <c r="R371" s="29"/>
      <c r="S371" s="29"/>
      <c r="T371" s="29"/>
      <c r="U371" s="31">
        <f>H371+I371+J371+N371+O371</f>
        <v>4628000</v>
      </c>
      <c r="V371" s="53"/>
      <c r="W371" s="57"/>
      <c r="X371" s="54"/>
      <c r="Y371" s="53"/>
      <c r="Z371" s="65"/>
      <c r="AA371" s="65"/>
      <c r="AB371" s="65"/>
      <c r="AC371" s="65"/>
      <c r="AD371" s="65"/>
      <c r="AE371" s="65"/>
    </row>
    <row r="372" spans="1:31" x14ac:dyDescent="0.2">
      <c r="A372" s="19" t="s">
        <v>10</v>
      </c>
      <c r="B372" s="19"/>
      <c r="C372" s="19"/>
      <c r="D372" s="19"/>
      <c r="E372" s="19"/>
      <c r="F372" s="19"/>
      <c r="G372" s="19"/>
      <c r="H372" s="23"/>
      <c r="I372" s="36"/>
      <c r="J372" s="38">
        <f>60000/2</f>
        <v>30000</v>
      </c>
      <c r="K372" s="19"/>
      <c r="L372" s="19"/>
      <c r="M372" s="19"/>
      <c r="N372" s="23"/>
      <c r="O372" s="23"/>
      <c r="P372" s="19"/>
      <c r="Q372" s="23"/>
      <c r="R372" s="23"/>
      <c r="S372" s="23"/>
      <c r="T372" s="23"/>
      <c r="U372" s="39">
        <f t="shared" ref="U372" si="26">H372+I372+J372+N372+O372</f>
        <v>30000</v>
      </c>
      <c r="V372" s="53"/>
      <c r="W372" s="58"/>
      <c r="X372" s="55"/>
      <c r="Y372" s="53"/>
      <c r="Z372" s="65"/>
      <c r="AA372" s="65"/>
      <c r="AB372" s="65"/>
      <c r="AC372" s="65"/>
      <c r="AD372" s="65"/>
      <c r="AE372" s="65"/>
    </row>
    <row r="373" spans="1:31" x14ac:dyDescent="0.2">
      <c r="A373" s="4" t="s">
        <v>125</v>
      </c>
      <c r="B373" s="4"/>
      <c r="C373" s="4"/>
      <c r="D373" s="4"/>
      <c r="E373" s="4"/>
      <c r="F373" s="4"/>
      <c r="G373" s="4"/>
      <c r="H373" s="4">
        <f>840000/2</f>
        <v>420000</v>
      </c>
      <c r="I373" s="76">
        <f>48000*5/2</f>
        <v>120000</v>
      </c>
      <c r="J373" s="4">
        <f>20000/2</f>
        <v>10000</v>
      </c>
      <c r="K373" s="4"/>
      <c r="L373" s="4"/>
      <c r="M373" s="4"/>
      <c r="N373" s="4"/>
      <c r="O373" s="8"/>
      <c r="P373" s="4"/>
      <c r="Q373" s="4"/>
      <c r="R373" s="4"/>
      <c r="S373" s="4"/>
      <c r="T373" s="4"/>
      <c r="U373" s="40">
        <f>H373+I373+J373</f>
        <v>550000</v>
      </c>
      <c r="V373" s="45"/>
      <c r="W373" s="55"/>
      <c r="X373" s="55"/>
      <c r="Y373" s="53"/>
      <c r="Z373" s="65"/>
      <c r="AA373" s="65"/>
      <c r="AB373" s="65"/>
      <c r="AC373" s="65"/>
      <c r="AD373" s="65"/>
      <c r="AE373" s="65"/>
    </row>
    <row r="374" spans="1:31" x14ac:dyDescent="0.2">
      <c r="A374" s="4" t="s">
        <v>126</v>
      </c>
      <c r="B374" s="4"/>
      <c r="C374" s="4"/>
      <c r="D374" s="4"/>
      <c r="E374" s="4"/>
      <c r="F374" s="4"/>
      <c r="G374" s="4"/>
      <c r="H374" s="4">
        <f>828800/2</f>
        <v>414400</v>
      </c>
      <c r="I374" s="76">
        <f>48000*7/2</f>
        <v>168000</v>
      </c>
      <c r="J374" s="4">
        <f t="shared" ref="J374:J379" si="27">20000/2</f>
        <v>10000</v>
      </c>
      <c r="K374" s="4"/>
      <c r="L374" s="4"/>
      <c r="M374" s="4"/>
      <c r="N374" s="4"/>
      <c r="O374" s="8"/>
      <c r="P374" s="4"/>
      <c r="Q374" s="4"/>
      <c r="R374" s="4"/>
      <c r="S374" s="4"/>
      <c r="T374" s="4"/>
      <c r="U374" s="40">
        <f t="shared" ref="U374:U379" si="28">H374+I374+J374</f>
        <v>592400</v>
      </c>
      <c r="V374" s="45"/>
      <c r="W374" s="55"/>
      <c r="X374" s="55"/>
      <c r="Y374" s="53"/>
      <c r="Z374" s="65"/>
      <c r="AA374" s="65"/>
      <c r="AB374" s="65"/>
      <c r="AC374" s="65"/>
      <c r="AD374" s="65"/>
      <c r="AE374" s="65"/>
    </row>
    <row r="375" spans="1:31" x14ac:dyDescent="0.2">
      <c r="A375" s="4" t="s">
        <v>140</v>
      </c>
      <c r="B375" s="4"/>
      <c r="C375" s="4"/>
      <c r="D375" s="4"/>
      <c r="E375" s="4"/>
      <c r="F375" s="4"/>
      <c r="G375" s="4"/>
      <c r="H375" s="4">
        <f>1635200/2</f>
        <v>817600</v>
      </c>
      <c r="I375" s="76">
        <f>48000*17/2</f>
        <v>408000</v>
      </c>
      <c r="J375" s="4">
        <f t="shared" si="27"/>
        <v>10000</v>
      </c>
      <c r="K375" s="4"/>
      <c r="L375" s="4"/>
      <c r="M375" s="4"/>
      <c r="N375" s="4"/>
      <c r="O375" s="8"/>
      <c r="P375" s="4"/>
      <c r="Q375" s="4"/>
      <c r="R375" s="4"/>
      <c r="S375" s="4"/>
      <c r="T375" s="4"/>
      <c r="U375" s="40">
        <f t="shared" si="28"/>
        <v>1235600</v>
      </c>
      <c r="V375" s="45"/>
      <c r="W375" s="55"/>
      <c r="X375" s="55"/>
      <c r="Y375" s="53"/>
      <c r="Z375" s="65"/>
      <c r="AA375" s="65"/>
      <c r="AB375" s="65"/>
      <c r="AC375" s="65"/>
      <c r="AD375" s="65"/>
      <c r="AE375" s="65"/>
    </row>
    <row r="376" spans="1:31" x14ac:dyDescent="0.2">
      <c r="A376" s="4" t="s">
        <v>127</v>
      </c>
      <c r="B376" s="4"/>
      <c r="C376" s="4"/>
      <c r="D376" s="4"/>
      <c r="E376" s="4"/>
      <c r="F376" s="4"/>
      <c r="G376" s="4"/>
      <c r="H376" s="4">
        <f>515200/2</f>
        <v>257600</v>
      </c>
      <c r="I376" s="76">
        <f>48000*4/2</f>
        <v>96000</v>
      </c>
      <c r="J376" s="4">
        <f t="shared" si="27"/>
        <v>10000</v>
      </c>
      <c r="K376" s="4"/>
      <c r="L376" s="4"/>
      <c r="M376" s="4"/>
      <c r="N376" s="4"/>
      <c r="O376" s="8"/>
      <c r="P376" s="4"/>
      <c r="Q376" s="4"/>
      <c r="R376" s="4"/>
      <c r="S376" s="4"/>
      <c r="T376" s="4"/>
      <c r="U376" s="40">
        <f t="shared" si="28"/>
        <v>363600</v>
      </c>
      <c r="V376" s="45"/>
      <c r="W376" s="55"/>
      <c r="X376" s="55"/>
      <c r="Y376" s="53"/>
      <c r="Z376" s="65"/>
      <c r="AA376" s="65"/>
      <c r="AB376" s="65"/>
      <c r="AC376" s="65"/>
      <c r="AD376" s="65"/>
      <c r="AE376" s="65"/>
    </row>
    <row r="377" spans="1:31" x14ac:dyDescent="0.2">
      <c r="A377" s="4" t="s">
        <v>128</v>
      </c>
      <c r="B377" s="4"/>
      <c r="C377" s="4"/>
      <c r="D377" s="4"/>
      <c r="E377" s="4"/>
      <c r="F377" s="4"/>
      <c r="G377" s="4"/>
      <c r="H377" s="4">
        <f>1019200/2</f>
        <v>509600</v>
      </c>
      <c r="I377" s="76">
        <f>48000*7/2</f>
        <v>168000</v>
      </c>
      <c r="J377" s="4">
        <f t="shared" si="27"/>
        <v>10000</v>
      </c>
      <c r="K377" s="4"/>
      <c r="L377" s="4"/>
      <c r="M377" s="4"/>
      <c r="N377" s="41"/>
      <c r="O377" s="4"/>
      <c r="P377" s="4"/>
      <c r="Q377" s="4"/>
      <c r="R377" s="4"/>
      <c r="S377" s="4"/>
      <c r="T377" s="4"/>
      <c r="U377" s="40">
        <f t="shared" si="28"/>
        <v>687600</v>
      </c>
      <c r="V377" s="45"/>
      <c r="W377" s="55"/>
      <c r="X377" s="58"/>
      <c r="Y377" s="53"/>
      <c r="Z377" s="65"/>
      <c r="AA377" s="65"/>
      <c r="AB377" s="65"/>
      <c r="AC377" s="65"/>
      <c r="AD377" s="65"/>
      <c r="AE377" s="65"/>
    </row>
    <row r="378" spans="1:31" x14ac:dyDescent="0.2">
      <c r="A378" s="4" t="s">
        <v>129</v>
      </c>
      <c r="B378" s="4"/>
      <c r="C378" s="4"/>
      <c r="D378" s="4"/>
      <c r="E378" s="4"/>
      <c r="F378" s="4"/>
      <c r="G378" s="4"/>
      <c r="H378" s="4">
        <f>(14*56000)/2+(1*44800)/2+(1*33600)/2</f>
        <v>431200</v>
      </c>
      <c r="I378" s="76">
        <f>48000*6/2</f>
        <v>144000</v>
      </c>
      <c r="J378" s="4">
        <f>20000/2</f>
        <v>10000</v>
      </c>
      <c r="K378" s="4"/>
      <c r="L378" s="4"/>
      <c r="M378" s="4"/>
      <c r="N378" s="41"/>
      <c r="O378" s="4"/>
      <c r="P378" s="4"/>
      <c r="Q378" s="4"/>
      <c r="R378" s="4"/>
      <c r="S378" s="4"/>
      <c r="T378" s="4"/>
      <c r="U378" s="40">
        <f t="shared" si="28"/>
        <v>585200</v>
      </c>
      <c r="V378" s="45"/>
      <c r="W378" s="55"/>
      <c r="X378" s="58"/>
      <c r="Y378" s="53"/>
      <c r="Z378" s="65"/>
      <c r="AA378" s="65"/>
      <c r="AB378" s="65"/>
      <c r="AC378" s="65"/>
      <c r="AD378" s="65"/>
      <c r="AE378" s="65"/>
    </row>
    <row r="379" spans="1:31" x14ac:dyDescent="0.2">
      <c r="A379" s="4" t="s">
        <v>130</v>
      </c>
      <c r="B379" s="4"/>
      <c r="C379" s="4"/>
      <c r="D379" s="4"/>
      <c r="E379" s="4"/>
      <c r="F379" s="4"/>
      <c r="G379" s="4"/>
      <c r="H379" s="4">
        <f>907200/2</f>
        <v>453600</v>
      </c>
      <c r="I379" s="76">
        <f>48000*5/2</f>
        <v>120000</v>
      </c>
      <c r="J379" s="4">
        <f t="shared" si="27"/>
        <v>10000</v>
      </c>
      <c r="K379" s="4"/>
      <c r="L379" s="4"/>
      <c r="M379" s="4"/>
      <c r="N379" s="41"/>
      <c r="O379" s="4"/>
      <c r="P379" s="4"/>
      <c r="Q379" s="4"/>
      <c r="R379" s="4"/>
      <c r="S379" s="4"/>
      <c r="T379" s="4"/>
      <c r="U379" s="40">
        <f t="shared" si="28"/>
        <v>583600</v>
      </c>
      <c r="V379" s="45"/>
      <c r="W379" s="55"/>
      <c r="X379" s="58"/>
      <c r="Y379" s="53"/>
      <c r="Z379" s="65"/>
      <c r="AA379" s="65"/>
      <c r="AB379" s="65"/>
      <c r="AC379" s="65"/>
      <c r="AD379" s="65"/>
      <c r="AE379" s="65"/>
    </row>
    <row r="380" spans="1:31" x14ac:dyDescent="0.2">
      <c r="J380" s="5"/>
      <c r="N380" s="10"/>
      <c r="O380" s="10"/>
      <c r="U380" s="30"/>
      <c r="V380" s="66"/>
      <c r="W380" s="65"/>
      <c r="X380" s="65"/>
      <c r="Y380" s="65"/>
      <c r="Z380" s="65"/>
      <c r="AA380" s="65"/>
      <c r="AB380" s="65"/>
      <c r="AC380" s="65"/>
      <c r="AD380" s="65"/>
      <c r="AE380" s="65"/>
    </row>
    <row r="381" spans="1:31" x14ac:dyDescent="0.2">
      <c r="J381" s="5"/>
      <c r="N381" s="10"/>
      <c r="O381" s="10"/>
      <c r="U381" s="30"/>
      <c r="V381" s="65"/>
      <c r="W381" s="65"/>
      <c r="X381" s="65"/>
      <c r="Y381" s="65"/>
      <c r="Z381" s="65"/>
      <c r="AA381" s="65"/>
      <c r="AB381" s="65"/>
      <c r="AC381" s="65"/>
      <c r="AD381" s="65"/>
      <c r="AE381" s="65"/>
    </row>
    <row r="382" spans="1:31" ht="18.75" x14ac:dyDescent="0.3">
      <c r="A382" s="33" t="s">
        <v>151</v>
      </c>
      <c r="B382" s="33"/>
      <c r="C382" s="33"/>
      <c r="D382" s="33"/>
      <c r="E382" s="33"/>
      <c r="F382" s="33"/>
      <c r="G382" s="33"/>
      <c r="H382" s="44"/>
      <c r="I382" s="33"/>
      <c r="J382" s="33"/>
      <c r="K382" s="33"/>
      <c r="L382" s="33"/>
      <c r="M382" s="33"/>
      <c r="N382" s="44"/>
      <c r="O382" s="33"/>
      <c r="P382" s="33"/>
      <c r="Q382" s="33"/>
      <c r="R382" s="33"/>
      <c r="S382" s="33"/>
      <c r="T382" s="33"/>
      <c r="U382" s="43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</row>
    <row r="383" spans="1:31" ht="14.25" x14ac:dyDescent="0.25">
      <c r="A383" s="50" t="s">
        <v>174</v>
      </c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65"/>
      <c r="W383" s="65"/>
      <c r="X383" s="65"/>
      <c r="Y383" s="65"/>
      <c r="Z383" s="65"/>
      <c r="AA383" s="65"/>
      <c r="AB383" s="65"/>
      <c r="AC383" s="65"/>
      <c r="AD383" s="65"/>
      <c r="AE383" s="65"/>
    </row>
    <row r="384" spans="1:31" ht="14.25" x14ac:dyDescent="0.25">
      <c r="A384" s="50" t="s">
        <v>177</v>
      </c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</row>
    <row r="385" spans="1:31" ht="14.25" x14ac:dyDescent="0.25">
      <c r="A385" s="50" t="s">
        <v>175</v>
      </c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</row>
    <row r="386" spans="1:31" ht="14.25" x14ac:dyDescent="0.25">
      <c r="A386" s="50" t="s">
        <v>178</v>
      </c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</row>
    <row r="387" spans="1:31" ht="14.25" x14ac:dyDescent="0.25">
      <c r="A387" s="50" t="s">
        <v>180</v>
      </c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</row>
    <row r="388" spans="1:31" ht="14.25" x14ac:dyDescent="0.25">
      <c r="A388" s="50" t="s">
        <v>179</v>
      </c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</row>
    <row r="389" spans="1:31" ht="14.25" x14ac:dyDescent="0.25">
      <c r="A389" s="50" t="s">
        <v>176</v>
      </c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</row>
    <row r="390" spans="1:31" ht="14.25" x14ac:dyDescent="0.25">
      <c r="A390" s="50" t="s">
        <v>182</v>
      </c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</row>
    <row r="391" spans="1:31" ht="14.25" x14ac:dyDescent="0.25">
      <c r="A391" s="50" t="s">
        <v>181</v>
      </c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</row>
    <row r="392" spans="1:31" ht="14.25" x14ac:dyDescent="0.25">
      <c r="A392" s="50" t="s">
        <v>166</v>
      </c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</row>
    <row r="393" spans="1:31" ht="14.25" x14ac:dyDescent="0.25">
      <c r="A393" s="50" t="s">
        <v>167</v>
      </c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65"/>
      <c r="W393" s="65"/>
      <c r="X393" s="65"/>
      <c r="Y393" s="65"/>
      <c r="Z393" s="65"/>
      <c r="AA393" s="65"/>
      <c r="AB393" s="65"/>
      <c r="AC393" s="65"/>
      <c r="AD393" s="65"/>
      <c r="AE393" s="65"/>
    </row>
    <row r="394" spans="1:31" x14ac:dyDescent="0.2">
      <c r="V394" s="65"/>
      <c r="W394" s="65"/>
      <c r="X394" s="65"/>
      <c r="Y394" s="65"/>
      <c r="Z394" s="65"/>
      <c r="AA394" s="65"/>
      <c r="AB394" s="65"/>
      <c r="AC394" s="65"/>
      <c r="AD394" s="65"/>
      <c r="AE394" s="65"/>
    </row>
    <row r="395" spans="1:31" ht="17.25" x14ac:dyDescent="0.3">
      <c r="A395" s="94" t="s">
        <v>184</v>
      </c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</row>
    <row r="396" spans="1:31" x14ac:dyDescent="0.2">
      <c r="V396" s="65"/>
      <c r="W396" s="65"/>
      <c r="X396" s="65"/>
      <c r="Y396" s="65"/>
      <c r="Z396" s="65"/>
      <c r="AA396" s="65"/>
      <c r="AB396" s="65"/>
      <c r="AC396" s="65"/>
      <c r="AD396" s="65"/>
      <c r="AE396" s="65"/>
    </row>
    <row r="397" spans="1:31" x14ac:dyDescent="0.2">
      <c r="V397" s="65"/>
      <c r="W397" s="65"/>
      <c r="X397" s="65"/>
      <c r="Y397" s="65"/>
      <c r="Z397" s="65"/>
      <c r="AA397" s="65"/>
      <c r="AB397" s="65"/>
      <c r="AC397" s="65"/>
      <c r="AD397" s="65"/>
      <c r="AE397" s="65"/>
    </row>
    <row r="398" spans="1:31" x14ac:dyDescent="0.2">
      <c r="V398" s="65"/>
      <c r="W398" s="65"/>
      <c r="X398" s="65"/>
      <c r="Y398" s="65"/>
      <c r="Z398" s="65"/>
      <c r="AA398" s="65"/>
      <c r="AB398" s="65"/>
      <c r="AC398" s="65"/>
      <c r="AD398" s="65"/>
      <c r="AE398" s="65"/>
    </row>
    <row r="399" spans="1:31" x14ac:dyDescent="0.2">
      <c r="V399" s="65"/>
      <c r="W399" s="65"/>
      <c r="X399" s="65"/>
      <c r="Y399" s="65"/>
      <c r="Z399" s="65"/>
      <c r="AA399" s="65"/>
      <c r="AB399" s="65"/>
      <c r="AC399" s="65"/>
      <c r="AD399" s="65"/>
      <c r="AE399" s="65"/>
    </row>
    <row r="400" spans="1:31" x14ac:dyDescent="0.2">
      <c r="V400" s="65"/>
      <c r="W400" s="65"/>
      <c r="X400" s="65"/>
      <c r="Y400" s="65"/>
      <c r="Z400" s="65"/>
      <c r="AA400" s="65"/>
      <c r="AB400" s="65"/>
      <c r="AC400" s="65"/>
      <c r="AD400" s="65"/>
      <c r="AE400" s="65"/>
    </row>
    <row r="401" spans="1:31" x14ac:dyDescent="0.2">
      <c r="V401" s="65"/>
      <c r="W401" s="65"/>
      <c r="X401" s="65"/>
      <c r="Y401" s="65"/>
      <c r="Z401" s="65"/>
      <c r="AA401" s="65"/>
      <c r="AB401" s="65"/>
      <c r="AC401" s="65"/>
      <c r="AD401" s="65"/>
      <c r="AE401" s="65"/>
    </row>
    <row r="402" spans="1:31" x14ac:dyDescent="0.2">
      <c r="V402" s="65"/>
      <c r="W402" s="65"/>
      <c r="X402" s="65"/>
      <c r="Y402" s="65"/>
      <c r="Z402" s="65"/>
      <c r="AA402" s="65"/>
      <c r="AB402" s="65"/>
      <c r="AC402" s="65"/>
      <c r="AD402" s="65"/>
      <c r="AE402" s="65"/>
    </row>
    <row r="403" spans="1:31" x14ac:dyDescent="0.2">
      <c r="V403" s="65"/>
      <c r="W403" s="65"/>
      <c r="X403" s="65"/>
      <c r="Y403" s="65"/>
      <c r="Z403" s="65"/>
      <c r="AA403" s="65"/>
      <c r="AB403" s="65"/>
      <c r="AC403" s="65"/>
      <c r="AD403" s="65"/>
      <c r="AE403" s="65"/>
    </row>
    <row r="404" spans="1:31" x14ac:dyDescent="0.2">
      <c r="V404" s="65"/>
      <c r="W404" s="65"/>
      <c r="X404" s="65"/>
      <c r="Y404" s="65"/>
      <c r="Z404" s="65"/>
      <c r="AA404" s="65"/>
      <c r="AB404" s="65"/>
      <c r="AC404" s="65"/>
      <c r="AD404" s="65"/>
      <c r="AE404" s="65"/>
    </row>
    <row r="405" spans="1:31" x14ac:dyDescent="0.2">
      <c r="A405" t="s">
        <v>132</v>
      </c>
      <c r="V405" s="65"/>
      <c r="W405" s="65"/>
      <c r="X405" s="65"/>
      <c r="Y405" s="65"/>
      <c r="Z405" s="65"/>
      <c r="AA405" s="65"/>
      <c r="AB405" s="65"/>
      <c r="AC405" s="65"/>
      <c r="AD405" s="65"/>
      <c r="AE405" s="65"/>
    </row>
    <row r="406" spans="1:31" x14ac:dyDescent="0.2">
      <c r="A406" s="14" t="s">
        <v>0</v>
      </c>
      <c r="B406" s="14" t="s">
        <v>46</v>
      </c>
      <c r="C406" s="14" t="s">
        <v>26</v>
      </c>
      <c r="D406" s="14" t="s">
        <v>46</v>
      </c>
      <c r="E406" s="14" t="s">
        <v>28</v>
      </c>
      <c r="F406" s="14" t="s">
        <v>43</v>
      </c>
      <c r="G406" s="14" t="s">
        <v>43</v>
      </c>
      <c r="H406" s="14" t="s">
        <v>14</v>
      </c>
      <c r="I406" s="14" t="s">
        <v>138</v>
      </c>
      <c r="J406" s="14" t="s">
        <v>30</v>
      </c>
      <c r="K406" s="14" t="s">
        <v>135</v>
      </c>
      <c r="L406" s="14" t="s">
        <v>13</v>
      </c>
      <c r="M406" s="14" t="s">
        <v>13</v>
      </c>
      <c r="N406" s="14" t="s">
        <v>31</v>
      </c>
      <c r="O406" s="14" t="s">
        <v>33</v>
      </c>
      <c r="P406" s="14" t="s">
        <v>33</v>
      </c>
      <c r="Q406" s="14" t="s">
        <v>145</v>
      </c>
      <c r="R406" s="14" t="s">
        <v>35</v>
      </c>
      <c r="S406" s="34" t="s">
        <v>37</v>
      </c>
      <c r="T406" s="14" t="s">
        <v>39</v>
      </c>
      <c r="U406" s="14" t="s">
        <v>41</v>
      </c>
      <c r="V406" s="65"/>
      <c r="W406" s="65"/>
      <c r="X406" s="65"/>
      <c r="Y406" s="65"/>
      <c r="Z406" s="65"/>
      <c r="AA406" s="65"/>
      <c r="AB406" s="65"/>
      <c r="AC406" s="65"/>
      <c r="AD406" s="65"/>
      <c r="AE406" s="65"/>
    </row>
    <row r="407" spans="1:31" ht="13.5" thickBot="1" x14ac:dyDescent="0.25">
      <c r="A407" s="18"/>
      <c r="B407" s="18" t="s">
        <v>48</v>
      </c>
      <c r="C407" s="18" t="s">
        <v>27</v>
      </c>
      <c r="D407" s="18" t="s">
        <v>47</v>
      </c>
      <c r="E407" s="18" t="s">
        <v>29</v>
      </c>
      <c r="F407" s="18" t="s">
        <v>44</v>
      </c>
      <c r="G407" s="18" t="s">
        <v>45</v>
      </c>
      <c r="H407" s="21" t="s">
        <v>137</v>
      </c>
      <c r="I407" s="18" t="s">
        <v>139</v>
      </c>
      <c r="J407" s="18" t="s">
        <v>146</v>
      </c>
      <c r="K407" s="18" t="s">
        <v>136</v>
      </c>
      <c r="L407" s="18" t="s">
        <v>134</v>
      </c>
      <c r="M407" s="18" t="s">
        <v>160</v>
      </c>
      <c r="N407" s="18" t="s">
        <v>32</v>
      </c>
      <c r="O407" s="18" t="s">
        <v>34</v>
      </c>
      <c r="P407" s="18" t="s">
        <v>133</v>
      </c>
      <c r="Q407" s="42" t="s">
        <v>144</v>
      </c>
      <c r="R407" s="18" t="s">
        <v>36</v>
      </c>
      <c r="S407" s="35" t="s">
        <v>38</v>
      </c>
      <c r="T407" s="18" t="s">
        <v>40</v>
      </c>
      <c r="U407" s="18" t="s">
        <v>42</v>
      </c>
      <c r="V407" s="65"/>
      <c r="W407" s="65"/>
      <c r="X407" s="65"/>
      <c r="Y407" s="65"/>
      <c r="Z407" s="65"/>
      <c r="AA407" s="65"/>
      <c r="AB407" s="65"/>
      <c r="AC407" s="65"/>
      <c r="AD407" s="65"/>
      <c r="AE407" s="65"/>
    </row>
    <row r="408" spans="1:31" ht="13.5" thickBot="1" x14ac:dyDescent="0.25">
      <c r="A408" s="24" t="s">
        <v>132</v>
      </c>
      <c r="B408" s="25"/>
      <c r="C408" s="25"/>
      <c r="D408" s="25"/>
      <c r="E408" s="25"/>
      <c r="F408" s="25"/>
      <c r="G408" s="25"/>
      <c r="H408" s="47">
        <f>44800/2</f>
        <v>22400</v>
      </c>
      <c r="I408" s="47"/>
      <c r="J408" s="47"/>
      <c r="K408" s="25"/>
      <c r="L408" s="25"/>
      <c r="M408" s="25"/>
      <c r="N408" s="49"/>
      <c r="O408" s="25"/>
      <c r="P408" s="25"/>
      <c r="Q408" s="25"/>
      <c r="R408" s="25"/>
      <c r="S408" s="25"/>
      <c r="T408" s="25"/>
      <c r="U408" s="48">
        <f>H408+J408+N408+O408+Q408</f>
        <v>22400</v>
      </c>
      <c r="V408" s="65"/>
      <c r="W408" s="65"/>
      <c r="X408" s="65"/>
      <c r="Y408" s="65"/>
      <c r="Z408" s="65"/>
      <c r="AA408" s="65"/>
      <c r="AB408" s="65"/>
      <c r="AC408" s="65"/>
      <c r="AD408" s="65"/>
      <c r="AE408" s="65"/>
    </row>
    <row r="409" spans="1:31" x14ac:dyDescent="0.2">
      <c r="V409" s="65"/>
      <c r="W409" s="65"/>
      <c r="X409" s="65"/>
      <c r="Y409" s="65"/>
      <c r="Z409" s="65"/>
      <c r="AA409" s="65"/>
      <c r="AB409" s="65"/>
      <c r="AC409" s="65"/>
      <c r="AD409" s="65"/>
      <c r="AE409" s="65"/>
    </row>
    <row r="410" spans="1:31" ht="18.75" x14ac:dyDescent="0.3">
      <c r="A410" s="33" t="s">
        <v>142</v>
      </c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V410" s="65"/>
      <c r="W410" s="65"/>
      <c r="X410" s="65"/>
      <c r="Y410" s="65"/>
      <c r="Z410" s="65"/>
      <c r="AA410" s="65"/>
      <c r="AB410" s="65"/>
      <c r="AC410" s="65"/>
      <c r="AD410" s="65"/>
      <c r="AE410" s="65"/>
    </row>
    <row r="411" spans="1:31" ht="13.5" x14ac:dyDescent="0.25">
      <c r="A411" s="59" t="s">
        <v>183</v>
      </c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65"/>
      <c r="W411" s="65"/>
      <c r="X411" s="65"/>
      <c r="Y411" s="65"/>
      <c r="Z411" s="65"/>
      <c r="AA411" s="65"/>
      <c r="AB411" s="65"/>
      <c r="AC411" s="65"/>
      <c r="AD411" s="65"/>
      <c r="AE411" s="65"/>
    </row>
    <row r="412" spans="1:31" ht="13.5" x14ac:dyDescent="0.25">
      <c r="A412" s="59" t="s">
        <v>178</v>
      </c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65"/>
      <c r="W412" s="65"/>
      <c r="X412" s="65"/>
      <c r="Y412" s="65"/>
      <c r="Z412" s="65"/>
      <c r="AA412" s="65"/>
      <c r="AB412" s="65"/>
      <c r="AC412" s="65"/>
      <c r="AD412" s="65"/>
      <c r="AE412" s="65"/>
    </row>
    <row r="413" spans="1:31" ht="13.5" x14ac:dyDescent="0.25">
      <c r="A413" s="59"/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79"/>
      <c r="V413" s="65"/>
      <c r="W413" s="65"/>
      <c r="X413" s="65"/>
      <c r="Y413" s="65"/>
      <c r="Z413" s="65"/>
      <c r="AA413" s="65"/>
      <c r="AB413" s="65"/>
      <c r="AC413" s="65"/>
      <c r="AD413" s="65"/>
      <c r="AE413" s="65"/>
    </row>
    <row r="414" spans="1:31" ht="18.75" x14ac:dyDescent="0.3">
      <c r="A414" s="94" t="s">
        <v>184</v>
      </c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V414" s="65"/>
      <c r="W414" s="65"/>
      <c r="X414" s="65"/>
      <c r="Y414" s="65"/>
      <c r="Z414" s="65"/>
      <c r="AA414" s="65"/>
      <c r="AB414" s="65"/>
      <c r="AC414" s="65"/>
      <c r="AD414" s="65"/>
      <c r="AE414" s="65"/>
    </row>
    <row r="415" spans="1:31" ht="18.75" x14ac:dyDescent="0.3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V415" s="65"/>
      <c r="W415" s="65"/>
      <c r="X415" s="65"/>
      <c r="Y415" s="65"/>
      <c r="Z415" s="65"/>
      <c r="AA415" s="65"/>
      <c r="AB415" s="65"/>
      <c r="AC415" s="65"/>
      <c r="AD415" s="65"/>
      <c r="AE415" s="65"/>
    </row>
    <row r="416" spans="1:31" ht="18.75" x14ac:dyDescent="0.3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V416" s="65"/>
      <c r="W416" s="65"/>
      <c r="X416" s="65"/>
      <c r="Y416" s="65"/>
      <c r="Z416" s="65"/>
      <c r="AA416" s="65"/>
      <c r="AB416" s="65"/>
      <c r="AC416" s="65"/>
      <c r="AD416" s="65"/>
      <c r="AE416" s="65"/>
    </row>
    <row r="417" spans="1:31" ht="18.75" x14ac:dyDescent="0.3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V417" s="65"/>
      <c r="W417" s="65"/>
      <c r="X417" s="65"/>
      <c r="Y417" s="65"/>
      <c r="Z417" s="65"/>
      <c r="AA417" s="65"/>
      <c r="AB417" s="65"/>
      <c r="AC417" s="65"/>
      <c r="AD417" s="65"/>
      <c r="AE417" s="65"/>
    </row>
    <row r="418" spans="1:31" ht="18.75" x14ac:dyDescent="0.3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V418" s="65"/>
      <c r="W418" s="65"/>
      <c r="X418" s="65"/>
      <c r="Y418" s="65"/>
      <c r="Z418" s="65"/>
      <c r="AA418" s="65"/>
      <c r="AB418" s="65"/>
      <c r="AC418" s="65"/>
      <c r="AD418" s="65"/>
      <c r="AE418" s="65"/>
    </row>
    <row r="419" spans="1:31" x14ac:dyDescent="0.2">
      <c r="V419" s="65"/>
      <c r="W419" s="65"/>
      <c r="X419" s="65"/>
      <c r="Y419" s="65"/>
      <c r="Z419" s="65"/>
      <c r="AA419" s="65"/>
      <c r="AB419" s="65"/>
      <c r="AC419" s="65"/>
      <c r="AD419" s="65"/>
      <c r="AE419" s="65"/>
    </row>
    <row r="420" spans="1:31" x14ac:dyDescent="0.2">
      <c r="V420" s="65"/>
      <c r="W420" s="65"/>
      <c r="X420" s="65"/>
      <c r="Y420" s="65"/>
      <c r="Z420" s="65"/>
      <c r="AA420" s="65"/>
      <c r="AB420" s="65"/>
      <c r="AC420" s="65"/>
      <c r="AD420" s="65"/>
      <c r="AE420" s="65"/>
    </row>
    <row r="421" spans="1:31" x14ac:dyDescent="0.2">
      <c r="V421" s="65"/>
      <c r="W421" s="65"/>
      <c r="X421" s="65"/>
      <c r="Y421" s="65"/>
      <c r="Z421" s="65"/>
      <c r="AA421" s="65"/>
      <c r="AB421" s="65"/>
      <c r="AC421" s="65"/>
      <c r="AD421" s="65"/>
      <c r="AE421" s="65"/>
    </row>
    <row r="422" spans="1:31" x14ac:dyDescent="0.2">
      <c r="V422" s="65"/>
      <c r="W422" s="65"/>
      <c r="X422" s="65"/>
      <c r="Y422" s="65"/>
      <c r="Z422" s="65"/>
      <c r="AA422" s="65"/>
      <c r="AB422" s="65"/>
      <c r="AC422" s="65"/>
      <c r="AD422" s="65"/>
      <c r="AE422" s="65"/>
    </row>
    <row r="423" spans="1:31" x14ac:dyDescent="0.2">
      <c r="V423" s="65"/>
      <c r="W423" s="65"/>
      <c r="X423" s="65"/>
      <c r="Y423" s="65"/>
      <c r="Z423" s="65"/>
      <c r="AA423" s="65"/>
      <c r="AB423" s="65"/>
      <c r="AC423" s="65"/>
      <c r="AD423" s="65"/>
      <c r="AE423" s="65"/>
    </row>
    <row r="424" spans="1:31" x14ac:dyDescent="0.2">
      <c r="V424" s="65"/>
      <c r="W424" s="65"/>
      <c r="X424" s="65"/>
      <c r="Y424" s="65"/>
      <c r="Z424" s="65"/>
      <c r="AA424" s="65"/>
      <c r="AB424" s="65"/>
      <c r="AC424" s="65"/>
      <c r="AD424" s="65"/>
      <c r="AE424" s="65"/>
    </row>
    <row r="425" spans="1:31" x14ac:dyDescent="0.2">
      <c r="V425" s="65"/>
      <c r="W425" s="65"/>
      <c r="X425" s="65"/>
      <c r="Y425" s="65"/>
      <c r="Z425" s="65"/>
      <c r="AA425" s="65"/>
      <c r="AB425" s="65"/>
      <c r="AC425" s="65"/>
      <c r="AD425" s="65"/>
      <c r="AE425" s="65"/>
    </row>
    <row r="426" spans="1:31" x14ac:dyDescent="0.2">
      <c r="V426" s="65"/>
      <c r="W426" s="65"/>
      <c r="X426" s="65"/>
      <c r="Y426" s="65"/>
      <c r="Z426" s="65"/>
      <c r="AA426" s="65"/>
      <c r="AB426" s="65"/>
      <c r="AC426" s="65"/>
      <c r="AD426" s="65"/>
      <c r="AE426" s="65"/>
    </row>
    <row r="427" spans="1:31" x14ac:dyDescent="0.2">
      <c r="V427" s="65"/>
      <c r="W427" s="65"/>
      <c r="X427" s="65"/>
      <c r="Y427" s="65"/>
      <c r="Z427" s="65"/>
      <c r="AA427" s="65"/>
      <c r="AB427" s="65"/>
      <c r="AC427" s="65"/>
      <c r="AD427" s="65"/>
      <c r="AE427" s="65"/>
    </row>
    <row r="428" spans="1:31" x14ac:dyDescent="0.2">
      <c r="V428" s="65"/>
      <c r="W428" s="65"/>
      <c r="X428" s="65"/>
      <c r="Y428" s="65"/>
      <c r="Z428" s="65"/>
      <c r="AA428" s="65"/>
      <c r="AB428" s="65"/>
      <c r="AC428" s="65"/>
      <c r="AD428" s="65"/>
      <c r="AE428" s="65"/>
    </row>
    <row r="429" spans="1:31" x14ac:dyDescent="0.2">
      <c r="V429" s="65"/>
      <c r="W429" s="65"/>
      <c r="X429" s="65"/>
      <c r="Y429" s="65"/>
      <c r="Z429" s="65"/>
      <c r="AA429" s="65"/>
      <c r="AB429" s="65"/>
      <c r="AC429" s="65"/>
      <c r="AD429" s="65"/>
      <c r="AE429" s="65"/>
    </row>
    <row r="430" spans="1:31" x14ac:dyDescent="0.2">
      <c r="V430" s="65"/>
      <c r="W430" s="65"/>
      <c r="X430" s="65"/>
      <c r="Y430" s="65"/>
      <c r="Z430" s="65"/>
      <c r="AA430" s="65"/>
      <c r="AB430" s="65"/>
      <c r="AC430" s="65"/>
      <c r="AD430" s="65"/>
      <c r="AE430" s="65"/>
    </row>
    <row r="431" spans="1:31" x14ac:dyDescent="0.2">
      <c r="V431" s="65"/>
      <c r="W431" s="65"/>
      <c r="X431" s="65"/>
      <c r="Y431" s="65"/>
      <c r="Z431" s="65"/>
      <c r="AA431" s="65"/>
      <c r="AB431" s="65"/>
      <c r="AC431" s="65"/>
      <c r="AD431" s="65"/>
      <c r="AE431" s="65"/>
    </row>
    <row r="432" spans="1:31" x14ac:dyDescent="0.2">
      <c r="V432" s="65"/>
      <c r="W432" s="65"/>
      <c r="X432" s="65"/>
      <c r="Y432" s="65"/>
      <c r="Z432" s="65"/>
      <c r="AA432" s="65"/>
      <c r="AB432" s="65"/>
      <c r="AC432" s="65"/>
      <c r="AD432" s="65"/>
      <c r="AE432" s="65"/>
    </row>
    <row r="433" spans="1:31" x14ac:dyDescent="0.2">
      <c r="V433" s="65"/>
      <c r="W433" s="65"/>
      <c r="X433" s="65"/>
      <c r="Y433" s="65"/>
      <c r="Z433" s="65"/>
      <c r="AA433" s="65"/>
      <c r="AB433" s="65"/>
      <c r="AC433" s="65"/>
      <c r="AD433" s="65"/>
      <c r="AE433" s="65"/>
    </row>
    <row r="434" spans="1:31" x14ac:dyDescent="0.2">
      <c r="V434" s="65"/>
      <c r="W434" s="65"/>
      <c r="X434" s="65"/>
      <c r="Y434" s="65"/>
      <c r="Z434" s="65"/>
      <c r="AA434" s="65"/>
      <c r="AB434" s="65"/>
      <c r="AC434" s="65"/>
      <c r="AD434" s="65"/>
      <c r="AE434" s="65"/>
    </row>
    <row r="435" spans="1:31" x14ac:dyDescent="0.2">
      <c r="V435" s="65"/>
      <c r="W435" s="65"/>
      <c r="X435" s="65"/>
      <c r="Y435" s="65"/>
      <c r="Z435" s="65"/>
      <c r="AA435" s="65"/>
      <c r="AB435" s="65"/>
      <c r="AC435" s="65"/>
      <c r="AD435" s="65"/>
      <c r="AE435" s="65"/>
    </row>
    <row r="436" spans="1:31" x14ac:dyDescent="0.2">
      <c r="V436" s="65"/>
      <c r="W436" s="65"/>
      <c r="X436" s="65"/>
      <c r="Y436" s="65"/>
      <c r="Z436" s="65"/>
      <c r="AA436" s="65"/>
      <c r="AB436" s="65"/>
      <c r="AC436" s="65"/>
      <c r="AD436" s="65"/>
      <c r="AE436" s="65"/>
    </row>
    <row r="437" spans="1:31" x14ac:dyDescent="0.2">
      <c r="V437" s="65"/>
      <c r="W437" s="65"/>
      <c r="X437" s="65"/>
      <c r="Y437" s="65"/>
      <c r="Z437" s="65"/>
      <c r="AA437" s="65"/>
      <c r="AB437" s="65"/>
      <c r="AC437" s="65"/>
      <c r="AD437" s="65"/>
      <c r="AE437" s="65"/>
    </row>
    <row r="438" spans="1:31" x14ac:dyDescent="0.2">
      <c r="V438" s="65"/>
      <c r="W438" s="65"/>
      <c r="X438" s="65"/>
      <c r="Y438" s="65"/>
      <c r="Z438" s="65"/>
      <c r="AA438" s="65"/>
      <c r="AB438" s="65"/>
      <c r="AC438" s="65"/>
      <c r="AD438" s="65"/>
      <c r="AE438" s="65"/>
    </row>
    <row r="439" spans="1:31" x14ac:dyDescent="0.2">
      <c r="V439" s="65"/>
      <c r="W439" s="65"/>
      <c r="X439" s="65"/>
      <c r="Y439" s="65"/>
      <c r="Z439" s="65"/>
      <c r="AA439" s="65"/>
      <c r="AB439" s="65"/>
      <c r="AC439" s="65"/>
      <c r="AD439" s="65"/>
      <c r="AE439" s="65"/>
    </row>
    <row r="440" spans="1:31" x14ac:dyDescent="0.2">
      <c r="V440" s="65"/>
      <c r="W440" s="65"/>
      <c r="X440" s="65"/>
      <c r="Y440" s="65"/>
      <c r="Z440" s="65"/>
      <c r="AA440" s="65"/>
      <c r="AB440" s="65"/>
      <c r="AC440" s="65"/>
      <c r="AD440" s="65"/>
      <c r="AE440" s="65"/>
    </row>
    <row r="441" spans="1:31" x14ac:dyDescent="0.2">
      <c r="A441" s="6" t="s">
        <v>11</v>
      </c>
      <c r="V441" s="65"/>
      <c r="W441" s="65"/>
      <c r="X441" s="65"/>
      <c r="Y441" s="65"/>
      <c r="Z441" s="65"/>
      <c r="AA441" s="65"/>
      <c r="AB441" s="65"/>
      <c r="AC441" s="65"/>
      <c r="AD441" s="65"/>
      <c r="AE441" s="65"/>
    </row>
    <row r="442" spans="1:31" x14ac:dyDescent="0.2">
      <c r="A442" s="14" t="s">
        <v>0</v>
      </c>
      <c r="B442" s="14" t="s">
        <v>46</v>
      </c>
      <c r="C442" s="14" t="s">
        <v>26</v>
      </c>
      <c r="D442" s="14" t="s">
        <v>46</v>
      </c>
      <c r="E442" s="14" t="s">
        <v>28</v>
      </c>
      <c r="F442" s="14" t="s">
        <v>43</v>
      </c>
      <c r="G442" s="14" t="s">
        <v>43</v>
      </c>
      <c r="H442" s="14" t="s">
        <v>14</v>
      </c>
      <c r="I442" s="14" t="s">
        <v>138</v>
      </c>
      <c r="J442" s="14" t="s">
        <v>30</v>
      </c>
      <c r="K442" s="14" t="s">
        <v>135</v>
      </c>
      <c r="L442" s="14" t="s">
        <v>13</v>
      </c>
      <c r="M442" s="14" t="s">
        <v>13</v>
      </c>
      <c r="N442" s="14" t="s">
        <v>31</v>
      </c>
      <c r="O442" s="14" t="s">
        <v>33</v>
      </c>
      <c r="P442" s="14" t="s">
        <v>33</v>
      </c>
      <c r="Q442" s="14" t="s">
        <v>145</v>
      </c>
      <c r="R442" s="14" t="s">
        <v>35</v>
      </c>
      <c r="S442" s="34" t="s">
        <v>37</v>
      </c>
      <c r="T442" s="14" t="s">
        <v>39</v>
      </c>
      <c r="U442" s="14" t="s">
        <v>41</v>
      </c>
      <c r="V442" s="65"/>
      <c r="W442" s="65"/>
      <c r="X442" s="65"/>
      <c r="Y442" s="65"/>
      <c r="Z442" s="65"/>
      <c r="AA442" s="65"/>
      <c r="AB442" s="65"/>
      <c r="AC442" s="65"/>
      <c r="AD442" s="65"/>
      <c r="AE442" s="65"/>
    </row>
    <row r="443" spans="1:31" ht="13.5" thickBot="1" x14ac:dyDescent="0.25">
      <c r="A443" s="18"/>
      <c r="B443" s="18" t="s">
        <v>48</v>
      </c>
      <c r="C443" s="18" t="s">
        <v>27</v>
      </c>
      <c r="D443" s="18" t="s">
        <v>47</v>
      </c>
      <c r="E443" s="18" t="s">
        <v>29</v>
      </c>
      <c r="F443" s="18" t="s">
        <v>44</v>
      </c>
      <c r="G443" s="18" t="s">
        <v>45</v>
      </c>
      <c r="H443" s="21" t="s">
        <v>137</v>
      </c>
      <c r="I443" s="18" t="s">
        <v>139</v>
      </c>
      <c r="J443" s="18" t="s">
        <v>146</v>
      </c>
      <c r="K443" s="18" t="s">
        <v>136</v>
      </c>
      <c r="L443" s="18" t="s">
        <v>134</v>
      </c>
      <c r="M443" s="18" t="s">
        <v>160</v>
      </c>
      <c r="N443" s="18" t="s">
        <v>32</v>
      </c>
      <c r="O443" s="18" t="s">
        <v>34</v>
      </c>
      <c r="P443" s="18" t="s">
        <v>133</v>
      </c>
      <c r="Q443" s="42" t="s">
        <v>144</v>
      </c>
      <c r="R443" s="18" t="s">
        <v>36</v>
      </c>
      <c r="S443" s="35" t="s">
        <v>38</v>
      </c>
      <c r="T443" s="18" t="s">
        <v>40</v>
      </c>
      <c r="U443" s="18" t="s">
        <v>42</v>
      </c>
      <c r="V443" s="65"/>
      <c r="W443" s="65"/>
      <c r="X443" s="65"/>
      <c r="Y443" s="65"/>
      <c r="Z443" s="65"/>
      <c r="AA443" s="65"/>
      <c r="AB443" s="65"/>
      <c r="AC443" s="65"/>
      <c r="AD443" s="65"/>
      <c r="AE443" s="65"/>
    </row>
    <row r="444" spans="1:31" ht="13.5" thickBot="1" x14ac:dyDescent="0.25">
      <c r="A444" s="24" t="s">
        <v>11</v>
      </c>
      <c r="B444" s="25"/>
      <c r="C444" s="25"/>
      <c r="D444" s="25"/>
      <c r="E444" s="25"/>
      <c r="F444" s="25"/>
      <c r="G444" s="25"/>
      <c r="H444" s="27"/>
      <c r="I444" s="27"/>
      <c r="J444" s="47">
        <f>440000/2</f>
        <v>220000</v>
      </c>
      <c r="K444" s="25"/>
      <c r="L444" s="25"/>
      <c r="M444" s="25"/>
      <c r="N444" s="31"/>
      <c r="O444" s="25"/>
      <c r="P444" s="25"/>
      <c r="Q444" s="29"/>
      <c r="R444" s="25"/>
      <c r="S444" s="25"/>
      <c r="T444" s="25"/>
      <c r="U444" s="48">
        <f>H444+J444+N444+O444+Q444</f>
        <v>220000</v>
      </c>
      <c r="V444" s="65"/>
      <c r="W444" s="65"/>
      <c r="X444" s="65"/>
      <c r="Y444" s="65"/>
      <c r="Z444" s="65"/>
      <c r="AA444" s="65"/>
      <c r="AB444" s="65"/>
      <c r="AC444" s="65"/>
      <c r="AD444" s="65"/>
      <c r="AE444" s="65"/>
    </row>
    <row r="445" spans="1:31" x14ac:dyDescent="0.2">
      <c r="V445" s="65"/>
      <c r="W445" s="65"/>
      <c r="X445" s="65"/>
      <c r="Y445" s="65"/>
      <c r="Z445" s="65"/>
      <c r="AA445" s="65"/>
      <c r="AB445" s="65"/>
      <c r="AC445" s="65"/>
      <c r="AD445" s="65"/>
      <c r="AE445" s="65"/>
    </row>
    <row r="446" spans="1:31" ht="18.75" x14ac:dyDescent="0.3">
      <c r="A446" s="33" t="s">
        <v>171</v>
      </c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V446" s="65"/>
      <c r="W446" s="65"/>
      <c r="X446" s="65"/>
      <c r="Y446" s="65"/>
      <c r="Z446" s="65"/>
      <c r="AA446" s="65"/>
      <c r="AB446" s="65"/>
      <c r="AC446" s="65"/>
      <c r="AD446" s="65"/>
      <c r="AE446" s="65"/>
    </row>
    <row r="447" spans="1:31" x14ac:dyDescent="0.2">
      <c r="V447" s="65"/>
      <c r="W447" s="65"/>
      <c r="X447" s="65"/>
      <c r="Y447" s="65"/>
      <c r="Z447" s="65"/>
      <c r="AA447" s="65"/>
      <c r="AB447" s="65"/>
      <c r="AC447" s="65"/>
      <c r="AD447" s="65"/>
      <c r="AE447" s="65"/>
    </row>
    <row r="448" spans="1:31" ht="17.25" x14ac:dyDescent="0.3">
      <c r="A448" s="94" t="s">
        <v>184</v>
      </c>
      <c r="V448" s="65"/>
      <c r="W448" s="65"/>
      <c r="X448" s="65"/>
      <c r="Y448" s="65"/>
      <c r="Z448" s="65"/>
      <c r="AA448" s="65"/>
      <c r="AB448" s="65"/>
      <c r="AC448" s="65"/>
      <c r="AD448" s="65"/>
      <c r="AE448" s="65"/>
    </row>
    <row r="449" spans="22:31" x14ac:dyDescent="0.2">
      <c r="V449" s="65"/>
      <c r="W449" s="65"/>
      <c r="X449" s="65"/>
      <c r="Y449" s="65"/>
      <c r="Z449" s="65"/>
      <c r="AA449" s="65"/>
      <c r="AB449" s="65"/>
      <c r="AC449" s="65"/>
      <c r="AD449" s="65"/>
      <c r="AE449" s="65"/>
    </row>
    <row r="450" spans="22:31" x14ac:dyDescent="0.2">
      <c r="V450" s="65"/>
      <c r="W450" s="65"/>
      <c r="X450" s="65"/>
      <c r="Y450" s="65"/>
      <c r="Z450" s="65"/>
      <c r="AA450" s="65"/>
      <c r="AB450" s="65"/>
      <c r="AC450" s="65"/>
      <c r="AD450" s="65"/>
      <c r="AE450" s="65"/>
    </row>
    <row r="451" spans="22:31" x14ac:dyDescent="0.2">
      <c r="V451" s="65"/>
      <c r="W451" s="65"/>
      <c r="X451" s="65"/>
      <c r="Y451" s="65"/>
      <c r="Z451" s="65"/>
      <c r="AA451" s="65"/>
      <c r="AB451" s="65"/>
      <c r="AC451" s="65"/>
      <c r="AD451" s="65"/>
      <c r="AE451" s="65"/>
    </row>
    <row r="452" spans="22:31" x14ac:dyDescent="0.2">
      <c r="V452" s="65"/>
      <c r="W452" s="65"/>
      <c r="X452" s="65"/>
      <c r="Y452" s="65"/>
      <c r="Z452" s="65"/>
      <c r="AA452" s="65"/>
      <c r="AB452" s="65"/>
      <c r="AC452" s="65"/>
      <c r="AD452" s="65"/>
      <c r="AE452" s="65"/>
    </row>
    <row r="453" spans="22:31" x14ac:dyDescent="0.2">
      <c r="V453" s="65"/>
      <c r="W453" s="65"/>
      <c r="X453" s="65"/>
      <c r="Y453" s="65"/>
      <c r="Z453" s="65"/>
      <c r="AA453" s="65"/>
      <c r="AB453" s="65"/>
      <c r="AC453" s="65"/>
      <c r="AD453" s="65"/>
      <c r="AE453" s="65"/>
    </row>
    <row r="454" spans="22:31" x14ac:dyDescent="0.2">
      <c r="V454" s="65"/>
      <c r="W454" s="65"/>
      <c r="X454" s="65"/>
      <c r="Y454" s="65"/>
      <c r="Z454" s="65"/>
      <c r="AA454" s="65"/>
      <c r="AB454" s="65"/>
      <c r="AC454" s="65"/>
      <c r="AD454" s="65"/>
      <c r="AE454" s="65"/>
    </row>
    <row r="455" spans="22:31" x14ac:dyDescent="0.2">
      <c r="V455" s="65"/>
      <c r="W455" s="65"/>
      <c r="X455" s="65"/>
      <c r="Y455" s="65"/>
      <c r="Z455" s="65"/>
      <c r="AA455" s="65"/>
      <c r="AB455" s="65"/>
      <c r="AC455" s="65"/>
      <c r="AD455" s="65"/>
      <c r="AE455" s="65"/>
    </row>
    <row r="456" spans="22:31" x14ac:dyDescent="0.2">
      <c r="V456" s="65"/>
      <c r="W456" s="65"/>
      <c r="X456" s="65"/>
      <c r="Y456" s="65"/>
      <c r="Z456" s="65"/>
      <c r="AA456" s="65"/>
      <c r="AB456" s="65"/>
      <c r="AC456" s="65"/>
      <c r="AD456" s="65"/>
      <c r="AE456" s="65"/>
    </row>
    <row r="457" spans="22:31" x14ac:dyDescent="0.2">
      <c r="V457" s="65"/>
      <c r="W457" s="65"/>
      <c r="X457" s="65"/>
      <c r="Y457" s="65"/>
      <c r="Z457" s="65"/>
      <c r="AA457" s="65"/>
      <c r="AB457" s="65"/>
      <c r="AC457" s="65"/>
      <c r="AD457" s="65"/>
      <c r="AE457" s="65"/>
    </row>
    <row r="458" spans="22:31" x14ac:dyDescent="0.2">
      <c r="V458" s="65"/>
      <c r="W458" s="65"/>
      <c r="X458" s="65"/>
      <c r="Y458" s="65"/>
      <c r="Z458" s="65"/>
      <c r="AA458" s="65"/>
      <c r="AB458" s="65"/>
      <c r="AC458" s="65"/>
      <c r="AD458" s="65"/>
      <c r="AE458" s="65"/>
    </row>
    <row r="459" spans="22:31" x14ac:dyDescent="0.2">
      <c r="V459" s="65"/>
      <c r="W459" s="65"/>
      <c r="X459" s="65"/>
      <c r="Y459" s="65"/>
      <c r="Z459" s="65"/>
      <c r="AA459" s="65"/>
      <c r="AB459" s="65"/>
      <c r="AC459" s="65"/>
      <c r="AD459" s="65"/>
      <c r="AE459" s="65"/>
    </row>
    <row r="460" spans="22:31" x14ac:dyDescent="0.2">
      <c r="V460" s="65"/>
      <c r="W460" s="65"/>
      <c r="X460" s="65"/>
      <c r="Y460" s="65"/>
      <c r="Z460" s="65"/>
      <c r="AA460" s="65"/>
      <c r="AB460" s="65"/>
      <c r="AC460" s="65"/>
      <c r="AD460" s="65"/>
      <c r="AE460" s="65"/>
    </row>
    <row r="461" spans="22:31" x14ac:dyDescent="0.2">
      <c r="V461" s="65"/>
      <c r="W461" s="65"/>
      <c r="X461" s="65"/>
      <c r="Y461" s="65"/>
      <c r="Z461" s="65"/>
      <c r="AA461" s="65"/>
      <c r="AB461" s="65"/>
      <c r="AC461" s="65"/>
      <c r="AD461" s="65"/>
      <c r="AE461" s="65"/>
    </row>
    <row r="462" spans="22:31" x14ac:dyDescent="0.2">
      <c r="V462" s="65"/>
      <c r="W462" s="65"/>
      <c r="X462" s="65"/>
      <c r="Y462" s="65"/>
      <c r="Z462" s="65"/>
      <c r="AA462" s="65"/>
      <c r="AB462" s="65"/>
      <c r="AC462" s="65"/>
      <c r="AD462" s="65"/>
      <c r="AE462" s="65"/>
    </row>
    <row r="463" spans="22:31" x14ac:dyDescent="0.2">
      <c r="V463" s="65"/>
      <c r="W463" s="65"/>
      <c r="X463" s="65"/>
      <c r="Y463" s="65"/>
      <c r="Z463" s="65"/>
      <c r="AA463" s="65"/>
      <c r="AB463" s="65"/>
      <c r="AC463" s="65"/>
      <c r="AD463" s="65"/>
      <c r="AE463" s="65"/>
    </row>
    <row r="464" spans="22:31" x14ac:dyDescent="0.2">
      <c r="V464" s="65"/>
      <c r="W464" s="65"/>
      <c r="X464" s="65"/>
      <c r="Y464" s="65"/>
      <c r="Z464" s="65"/>
      <c r="AA464" s="65"/>
      <c r="AB464" s="65"/>
      <c r="AC464" s="65"/>
      <c r="AD464" s="65"/>
      <c r="AE464" s="65"/>
    </row>
    <row r="465" spans="1:31" x14ac:dyDescent="0.2">
      <c r="V465" s="65"/>
      <c r="W465" s="65"/>
      <c r="X465" s="65"/>
      <c r="Y465" s="65"/>
      <c r="Z465" s="65"/>
      <c r="AA465" s="65"/>
      <c r="AB465" s="65"/>
      <c r="AC465" s="65"/>
      <c r="AD465" s="65"/>
      <c r="AE465" s="65"/>
    </row>
    <row r="466" spans="1:31" x14ac:dyDescent="0.2">
      <c r="V466" s="65"/>
      <c r="W466" s="65"/>
      <c r="X466" s="65"/>
      <c r="Y466" s="65"/>
      <c r="Z466" s="65"/>
      <c r="AA466" s="65"/>
      <c r="AB466" s="65"/>
      <c r="AC466" s="65"/>
      <c r="AD466" s="65"/>
      <c r="AE466" s="65"/>
    </row>
    <row r="467" spans="1:31" x14ac:dyDescent="0.2">
      <c r="V467" s="65"/>
      <c r="W467" s="65"/>
      <c r="X467" s="65"/>
      <c r="Y467" s="65"/>
      <c r="Z467" s="65"/>
      <c r="AA467" s="65"/>
      <c r="AB467" s="65"/>
      <c r="AC467" s="65"/>
      <c r="AD467" s="65"/>
      <c r="AE467" s="65"/>
    </row>
    <row r="468" spans="1:31" x14ac:dyDescent="0.2">
      <c r="V468" s="65"/>
      <c r="W468" s="65"/>
      <c r="X468" s="65"/>
      <c r="Y468" s="65"/>
      <c r="Z468" s="65"/>
      <c r="AA468" s="65"/>
      <c r="AB468" s="65"/>
      <c r="AC468" s="65"/>
      <c r="AD468" s="65"/>
      <c r="AE468" s="65"/>
    </row>
    <row r="469" spans="1:31" x14ac:dyDescent="0.2">
      <c r="V469" s="65"/>
      <c r="W469" s="65"/>
      <c r="X469" s="65"/>
      <c r="Y469" s="65"/>
      <c r="Z469" s="65"/>
      <c r="AA469" s="65"/>
      <c r="AB469" s="65"/>
      <c r="AC469" s="65"/>
      <c r="AD469" s="65"/>
      <c r="AE469" s="65"/>
    </row>
    <row r="470" spans="1:31" x14ac:dyDescent="0.2">
      <c r="V470" s="65"/>
      <c r="W470" s="65"/>
      <c r="X470" s="65"/>
      <c r="Y470" s="65"/>
      <c r="Z470" s="65"/>
      <c r="AA470" s="65"/>
      <c r="AB470" s="65"/>
      <c r="AC470" s="65"/>
      <c r="AD470" s="65"/>
      <c r="AE470" s="65"/>
    </row>
    <row r="471" spans="1:31" x14ac:dyDescent="0.2">
      <c r="V471" s="65"/>
      <c r="W471" s="65"/>
      <c r="X471" s="65"/>
      <c r="Y471" s="65"/>
      <c r="Z471" s="65"/>
      <c r="AA471" s="65"/>
      <c r="AB471" s="65"/>
      <c r="AC471" s="65"/>
      <c r="AD471" s="65"/>
      <c r="AE471" s="65"/>
    </row>
    <row r="472" spans="1:31" x14ac:dyDescent="0.2">
      <c r="V472" s="65"/>
      <c r="W472" s="65"/>
      <c r="X472" s="65"/>
      <c r="Y472" s="65"/>
      <c r="Z472" s="65"/>
      <c r="AA472" s="65"/>
      <c r="AB472" s="65"/>
      <c r="AC472" s="65"/>
      <c r="AD472" s="65"/>
      <c r="AE472" s="65"/>
    </row>
    <row r="473" spans="1:31" x14ac:dyDescent="0.2">
      <c r="V473" s="65"/>
      <c r="W473" s="65"/>
      <c r="X473" s="65"/>
      <c r="Y473" s="65"/>
      <c r="Z473" s="65"/>
      <c r="AA473" s="65"/>
      <c r="AB473" s="65"/>
      <c r="AC473" s="65"/>
      <c r="AD473" s="65"/>
      <c r="AE473" s="65"/>
    </row>
    <row r="474" spans="1:31" x14ac:dyDescent="0.2">
      <c r="V474" s="65"/>
      <c r="W474" s="65"/>
      <c r="X474" s="65"/>
      <c r="Y474" s="65"/>
      <c r="Z474" s="65"/>
      <c r="AA474" s="65"/>
      <c r="AB474" s="65"/>
      <c r="AC474" s="65"/>
      <c r="AD474" s="65"/>
      <c r="AE474" s="65"/>
    </row>
    <row r="475" spans="1:31" x14ac:dyDescent="0.2">
      <c r="V475" s="65"/>
      <c r="W475" s="65"/>
      <c r="X475" s="65"/>
      <c r="Y475" s="65"/>
      <c r="Z475" s="65"/>
      <c r="AA475" s="65"/>
      <c r="AB475" s="65"/>
      <c r="AC475" s="65"/>
      <c r="AD475" s="65"/>
      <c r="AE475" s="65"/>
    </row>
    <row r="476" spans="1:31" x14ac:dyDescent="0.2">
      <c r="V476" s="65"/>
      <c r="W476" s="65"/>
      <c r="X476" s="65"/>
      <c r="Y476" s="65"/>
      <c r="Z476" s="65"/>
      <c r="AA476" s="65"/>
      <c r="AB476" s="65"/>
      <c r="AC476" s="65"/>
      <c r="AD476" s="65"/>
      <c r="AE476" s="65"/>
    </row>
    <row r="477" spans="1:31" x14ac:dyDescent="0.2">
      <c r="V477" s="65"/>
      <c r="W477" s="65"/>
      <c r="X477" s="65"/>
      <c r="Y477" s="65"/>
      <c r="Z477" s="65"/>
      <c r="AA477" s="65"/>
      <c r="AB477" s="65"/>
      <c r="AC477" s="65"/>
      <c r="AD477" s="65"/>
      <c r="AE477" s="65"/>
    </row>
    <row r="478" spans="1:31" x14ac:dyDescent="0.2">
      <c r="V478" s="65"/>
      <c r="W478" s="65"/>
      <c r="X478" s="65"/>
      <c r="Y478" s="65"/>
      <c r="Z478" s="65"/>
      <c r="AA478" s="65"/>
      <c r="AB478" s="65"/>
      <c r="AC478" s="65"/>
      <c r="AD478" s="65"/>
      <c r="AE478" s="65"/>
    </row>
    <row r="479" spans="1:31" x14ac:dyDescent="0.2">
      <c r="A479" s="79" t="s">
        <v>168</v>
      </c>
      <c r="V479" s="65"/>
      <c r="W479" s="65"/>
      <c r="X479" s="65"/>
      <c r="Y479" s="65"/>
      <c r="Z479" s="65"/>
      <c r="AA479" s="65"/>
      <c r="AB479" s="65"/>
      <c r="AC479" s="65"/>
      <c r="AD479" s="65"/>
      <c r="AE479" s="65"/>
    </row>
    <row r="480" spans="1:31" x14ac:dyDescent="0.2">
      <c r="A480" s="14" t="s">
        <v>0</v>
      </c>
      <c r="B480" s="14" t="s">
        <v>46</v>
      </c>
      <c r="C480" s="14" t="s">
        <v>26</v>
      </c>
      <c r="D480" s="14" t="s">
        <v>46</v>
      </c>
      <c r="E480" s="14" t="s">
        <v>28</v>
      </c>
      <c r="F480" s="14" t="s">
        <v>43</v>
      </c>
      <c r="G480" s="14" t="s">
        <v>43</v>
      </c>
      <c r="H480" s="14" t="s">
        <v>14</v>
      </c>
      <c r="I480" s="14" t="s">
        <v>138</v>
      </c>
      <c r="J480" s="14" t="s">
        <v>30</v>
      </c>
      <c r="K480" s="14" t="s">
        <v>135</v>
      </c>
      <c r="L480" s="14" t="s">
        <v>13</v>
      </c>
      <c r="M480" s="14" t="s">
        <v>13</v>
      </c>
      <c r="N480" s="14" t="s">
        <v>31</v>
      </c>
      <c r="O480" s="14" t="s">
        <v>33</v>
      </c>
      <c r="P480" s="14" t="s">
        <v>33</v>
      </c>
      <c r="Q480" s="14" t="s">
        <v>161</v>
      </c>
      <c r="R480" s="14" t="s">
        <v>162</v>
      </c>
      <c r="S480" s="34" t="s">
        <v>37</v>
      </c>
      <c r="T480" s="14" t="s">
        <v>39</v>
      </c>
      <c r="U480" s="14" t="s">
        <v>41</v>
      </c>
      <c r="V480" s="65"/>
      <c r="W480" s="65"/>
      <c r="X480" s="65"/>
      <c r="Y480" s="65"/>
      <c r="Z480" s="65"/>
      <c r="AA480" s="65"/>
      <c r="AB480" s="65"/>
      <c r="AC480" s="65"/>
      <c r="AD480" s="65"/>
      <c r="AE480" s="65"/>
    </row>
    <row r="481" spans="1:31" ht="13.5" thickBot="1" x14ac:dyDescent="0.25">
      <c r="A481" s="15"/>
      <c r="B481" s="18" t="s">
        <v>48</v>
      </c>
      <c r="C481" s="18" t="s">
        <v>27</v>
      </c>
      <c r="D481" s="18" t="s">
        <v>47</v>
      </c>
      <c r="E481" s="18" t="s">
        <v>29</v>
      </c>
      <c r="F481" s="18" t="s">
        <v>44</v>
      </c>
      <c r="G481" s="18" t="s">
        <v>45</v>
      </c>
      <c r="H481" s="21" t="s">
        <v>137</v>
      </c>
      <c r="I481" s="18" t="s">
        <v>139</v>
      </c>
      <c r="J481" s="18" t="s">
        <v>146</v>
      </c>
      <c r="K481" s="18" t="s">
        <v>136</v>
      </c>
      <c r="L481" s="18" t="s">
        <v>134</v>
      </c>
      <c r="M481" s="18" t="s">
        <v>160</v>
      </c>
      <c r="N481" s="18" t="s">
        <v>32</v>
      </c>
      <c r="O481" s="18" t="s">
        <v>34</v>
      </c>
      <c r="P481" s="18" t="s">
        <v>133</v>
      </c>
      <c r="Q481" s="42"/>
      <c r="R481" s="18" t="s">
        <v>173</v>
      </c>
      <c r="S481" s="35" t="s">
        <v>38</v>
      </c>
      <c r="T481" s="18" t="s">
        <v>40</v>
      </c>
      <c r="U481" s="18" t="s">
        <v>42</v>
      </c>
      <c r="V481" s="65"/>
      <c r="W481" s="65"/>
      <c r="X481" s="65"/>
      <c r="Y481" s="65"/>
      <c r="Z481" s="65"/>
      <c r="AA481" s="65"/>
      <c r="AB481" s="65"/>
      <c r="AC481" s="65"/>
      <c r="AD481" s="65"/>
      <c r="AE481" s="65"/>
    </row>
    <row r="482" spans="1:31" ht="13.5" thickBot="1" x14ac:dyDescent="0.25">
      <c r="A482" s="24" t="s">
        <v>169</v>
      </c>
      <c r="B482" s="25"/>
      <c r="C482" s="25"/>
      <c r="D482" s="25"/>
      <c r="E482" s="25"/>
      <c r="F482" s="25"/>
      <c r="G482" s="27"/>
      <c r="H482" s="27">
        <f>H483+H484</f>
        <v>2000000</v>
      </c>
      <c r="I482" s="27"/>
      <c r="J482" s="27">
        <f>J484</f>
        <v>195000</v>
      </c>
      <c r="K482" s="27"/>
      <c r="L482" s="27">
        <f>L483+L484</f>
        <v>150000</v>
      </c>
      <c r="M482" s="27">
        <f>M483+M484</f>
        <v>0</v>
      </c>
      <c r="N482" s="27"/>
      <c r="O482" s="27">
        <f>O483+O484</f>
        <v>97230</v>
      </c>
      <c r="P482" s="27">
        <f>P483+P484</f>
        <v>3500000</v>
      </c>
      <c r="Q482" s="27">
        <f>Q483+Q484</f>
        <v>200000</v>
      </c>
      <c r="R482" s="25"/>
      <c r="S482" s="25"/>
      <c r="T482" s="25"/>
      <c r="U482" s="78">
        <f>H482+I482+J482+K482+L482+M482+N482+O482+P482+Q482+R482</f>
        <v>6142230</v>
      </c>
      <c r="V482" s="65"/>
      <c r="W482" s="65"/>
      <c r="X482" s="65"/>
      <c r="Y482" s="65"/>
      <c r="Z482" s="65"/>
      <c r="AA482" s="65"/>
      <c r="AB482" s="65"/>
      <c r="AC482" s="65"/>
      <c r="AD482" s="65"/>
      <c r="AE482" s="65"/>
    </row>
    <row r="483" spans="1:31" x14ac:dyDescent="0.2">
      <c r="A483" s="19" t="s">
        <v>168</v>
      </c>
      <c r="B483" s="19"/>
      <c r="C483" s="19"/>
      <c r="D483" s="19"/>
      <c r="E483" s="19"/>
      <c r="F483" s="19"/>
      <c r="G483" s="19"/>
      <c r="H483" s="22"/>
      <c r="I483" s="36"/>
      <c r="J483" s="19"/>
      <c r="K483" s="19"/>
      <c r="L483" s="19"/>
      <c r="M483" s="19"/>
      <c r="N483" s="23"/>
      <c r="O483" s="19"/>
      <c r="P483" s="19"/>
      <c r="Q483" s="19">
        <f>400000/2</f>
        <v>200000</v>
      </c>
      <c r="R483" s="19"/>
      <c r="S483" s="19"/>
      <c r="T483" s="19"/>
      <c r="U483" s="19"/>
      <c r="V483" s="65"/>
      <c r="W483" s="65"/>
      <c r="X483" s="65"/>
      <c r="Y483" s="65"/>
      <c r="Z483" s="65"/>
      <c r="AA483" s="65"/>
      <c r="AB483" s="65"/>
      <c r="AC483" s="65"/>
      <c r="AD483" s="65"/>
      <c r="AE483" s="65"/>
    </row>
    <row r="484" spans="1:31" x14ac:dyDescent="0.2">
      <c r="A484" s="4" t="s">
        <v>170</v>
      </c>
      <c r="B484" s="4"/>
      <c r="C484" s="4"/>
      <c r="D484" s="4"/>
      <c r="E484" s="4"/>
      <c r="F484" s="4"/>
      <c r="G484" s="4"/>
      <c r="H484" s="4">
        <f>4000000/2</f>
        <v>2000000</v>
      </c>
      <c r="I484" s="4"/>
      <c r="J484" s="4">
        <f>390000/2</f>
        <v>195000</v>
      </c>
      <c r="K484" s="4"/>
      <c r="L484" s="4">
        <f>300000/2</f>
        <v>150000</v>
      </c>
      <c r="M484" s="4"/>
      <c r="N484" s="4"/>
      <c r="O484" s="4">
        <v>97230</v>
      </c>
      <c r="P484" s="4">
        <f>7000000/2</f>
        <v>3500000</v>
      </c>
      <c r="Q484" s="4"/>
      <c r="R484" s="4"/>
      <c r="S484" s="4"/>
      <c r="T484" s="4"/>
      <c r="U484" s="4"/>
      <c r="V484" s="65"/>
      <c r="W484" s="65"/>
      <c r="X484" s="65"/>
      <c r="Y484" s="65"/>
      <c r="Z484" s="65"/>
      <c r="AA484" s="65"/>
      <c r="AB484" s="65"/>
      <c r="AC484" s="65"/>
      <c r="AD484" s="65"/>
      <c r="AE484" s="65"/>
    </row>
    <row r="485" spans="1:31" ht="18.75" x14ac:dyDescent="0.3">
      <c r="A485" s="33" t="s">
        <v>172</v>
      </c>
      <c r="B485" s="33"/>
      <c r="C485" s="33"/>
      <c r="D485" s="33"/>
      <c r="E485" s="33"/>
      <c r="F485" s="33"/>
      <c r="G485" s="33"/>
      <c r="H485" s="33"/>
      <c r="I485" s="33"/>
      <c r="J485" s="59"/>
      <c r="K485" s="59"/>
      <c r="V485" s="65"/>
      <c r="W485" s="65"/>
      <c r="X485" s="65"/>
      <c r="Y485" s="65"/>
      <c r="Z485" s="65"/>
      <c r="AA485" s="65"/>
      <c r="AB485" s="65"/>
      <c r="AC485" s="65"/>
      <c r="AD485" s="65"/>
      <c r="AE485" s="65"/>
    </row>
    <row r="486" spans="1:31" x14ac:dyDescent="0.2">
      <c r="V486" s="65"/>
      <c r="W486" s="65"/>
      <c r="X486" s="65"/>
      <c r="Y486" s="65"/>
      <c r="Z486" s="65"/>
      <c r="AA486" s="65"/>
      <c r="AB486" s="65"/>
      <c r="AC486" s="65"/>
      <c r="AD486" s="65"/>
      <c r="AE486" s="65"/>
    </row>
    <row r="487" spans="1:31" ht="17.25" x14ac:dyDescent="0.3">
      <c r="A487" s="94" t="s">
        <v>184</v>
      </c>
      <c r="V487" s="65"/>
      <c r="W487" s="65"/>
      <c r="X487" s="65"/>
      <c r="Y487" s="65"/>
      <c r="Z487" s="65"/>
      <c r="AA487" s="65"/>
      <c r="AB487" s="65"/>
      <c r="AC487" s="65"/>
      <c r="AD487" s="65"/>
      <c r="AE487" s="65"/>
    </row>
    <row r="488" spans="1:31" x14ac:dyDescent="0.2">
      <c r="V488" s="65"/>
      <c r="W488" s="65"/>
      <c r="X488" s="65"/>
      <c r="Y488" s="65"/>
      <c r="Z488" s="65"/>
      <c r="AA488" s="65"/>
      <c r="AB488" s="65"/>
      <c r="AC488" s="65"/>
      <c r="AD488" s="65"/>
      <c r="AE488" s="65"/>
    </row>
    <row r="489" spans="1:31" x14ac:dyDescent="0.2">
      <c r="V489" s="65"/>
      <c r="W489" s="65"/>
      <c r="X489" s="65"/>
      <c r="Y489" s="65"/>
      <c r="Z489" s="65"/>
      <c r="AA489" s="65"/>
      <c r="AB489" s="65"/>
      <c r="AC489" s="65"/>
      <c r="AD489" s="65"/>
      <c r="AE489" s="65"/>
    </row>
    <row r="490" spans="1:31" x14ac:dyDescent="0.2">
      <c r="V490" s="65"/>
      <c r="W490" s="65"/>
      <c r="X490" s="65"/>
      <c r="Y490" s="65"/>
      <c r="Z490" s="65"/>
      <c r="AA490" s="65"/>
      <c r="AB490" s="65"/>
      <c r="AC490" s="65"/>
      <c r="AD490" s="65"/>
      <c r="AE490" s="65"/>
    </row>
    <row r="491" spans="1:31" x14ac:dyDescent="0.2">
      <c r="V491" s="65"/>
      <c r="W491" s="65"/>
      <c r="X491" s="65"/>
      <c r="Y491" s="65"/>
      <c r="Z491" s="65"/>
      <c r="AA491" s="65"/>
      <c r="AB491" s="65"/>
      <c r="AC491" s="65"/>
      <c r="AD491" s="65"/>
      <c r="AE491" s="65"/>
    </row>
    <row r="492" spans="1:31" x14ac:dyDescent="0.2">
      <c r="V492" s="65"/>
      <c r="W492" s="65"/>
      <c r="X492" s="65"/>
      <c r="Y492" s="65"/>
      <c r="Z492" s="65"/>
      <c r="AA492" s="65"/>
      <c r="AB492" s="65"/>
      <c r="AC492" s="65"/>
      <c r="AD492" s="65"/>
      <c r="AE492" s="65"/>
    </row>
    <row r="493" spans="1:31" x14ac:dyDescent="0.2">
      <c r="V493" s="65"/>
      <c r="W493" s="65"/>
      <c r="X493" s="65"/>
      <c r="Y493" s="65"/>
      <c r="Z493" s="65"/>
      <c r="AA493" s="65"/>
      <c r="AB493" s="65"/>
      <c r="AC493" s="65"/>
      <c r="AD493" s="65"/>
      <c r="AE493" s="65"/>
    </row>
    <row r="494" spans="1:31" x14ac:dyDescent="0.2">
      <c r="V494" s="65"/>
      <c r="W494" s="65"/>
      <c r="X494" s="65"/>
      <c r="Y494" s="65"/>
      <c r="Z494" s="65"/>
      <c r="AA494" s="65"/>
      <c r="AB494" s="65"/>
      <c r="AC494" s="65"/>
      <c r="AD494" s="65"/>
      <c r="AE494" s="65"/>
    </row>
    <row r="495" spans="1:31" x14ac:dyDescent="0.2">
      <c r="V495" s="65"/>
      <c r="W495" s="65"/>
      <c r="X495" s="65"/>
      <c r="Y495" s="65"/>
      <c r="Z495" s="65"/>
      <c r="AA495" s="65"/>
      <c r="AB495" s="65"/>
      <c r="AC495" s="65"/>
      <c r="AD495" s="65"/>
      <c r="AE495" s="65"/>
    </row>
    <row r="496" spans="1:31" x14ac:dyDescent="0.2">
      <c r="V496" s="65"/>
      <c r="W496" s="65"/>
      <c r="X496" s="65"/>
      <c r="Y496" s="65"/>
      <c r="Z496" s="65"/>
      <c r="AA496" s="65"/>
      <c r="AB496" s="65"/>
      <c r="AC496" s="65"/>
      <c r="AD496" s="65"/>
      <c r="AE496" s="65"/>
    </row>
    <row r="497" spans="22:31" x14ac:dyDescent="0.2">
      <c r="V497" s="65"/>
      <c r="W497" s="65"/>
      <c r="X497" s="65"/>
      <c r="Y497" s="65"/>
      <c r="Z497" s="65"/>
      <c r="AA497" s="65"/>
      <c r="AB497" s="65"/>
      <c r="AC497" s="65"/>
      <c r="AD497" s="65"/>
      <c r="AE497" s="65"/>
    </row>
    <row r="498" spans="22:31" x14ac:dyDescent="0.2">
      <c r="V498" s="65"/>
      <c r="W498" s="65"/>
      <c r="X498" s="65"/>
      <c r="Y498" s="65"/>
      <c r="Z498" s="65"/>
      <c r="AA498" s="65"/>
      <c r="AB498" s="65"/>
      <c r="AC498" s="65"/>
      <c r="AD498" s="65"/>
      <c r="AE498" s="65"/>
    </row>
    <row r="499" spans="22:31" x14ac:dyDescent="0.2">
      <c r="V499" s="65"/>
      <c r="W499" s="65"/>
      <c r="X499" s="65"/>
      <c r="Y499" s="65"/>
      <c r="Z499" s="65"/>
      <c r="AA499" s="65"/>
      <c r="AB499" s="65"/>
      <c r="AC499" s="65"/>
      <c r="AD499" s="65"/>
      <c r="AE499" s="65"/>
    </row>
    <row r="500" spans="22:31" x14ac:dyDescent="0.2">
      <c r="V500" s="65"/>
      <c r="W500" s="65"/>
      <c r="X500" s="65"/>
      <c r="Y500" s="65"/>
      <c r="Z500" s="65"/>
      <c r="AA500" s="65"/>
      <c r="AB500" s="65"/>
      <c r="AC500" s="65"/>
      <c r="AD500" s="65"/>
      <c r="AE500" s="65"/>
    </row>
    <row r="501" spans="22:31" x14ac:dyDescent="0.2">
      <c r="V501" s="65"/>
      <c r="W501" s="65"/>
      <c r="X501" s="65"/>
      <c r="Y501" s="65"/>
      <c r="Z501" s="65"/>
      <c r="AA501" s="65"/>
      <c r="AB501" s="65"/>
      <c r="AC501" s="65"/>
      <c r="AD501" s="65"/>
      <c r="AE501" s="65"/>
    </row>
    <row r="502" spans="22:31" x14ac:dyDescent="0.2">
      <c r="V502" s="65"/>
      <c r="W502" s="65"/>
      <c r="X502" s="65"/>
      <c r="Y502" s="65"/>
      <c r="Z502" s="65"/>
      <c r="AA502" s="65"/>
      <c r="AB502" s="65"/>
      <c r="AC502" s="65"/>
      <c r="AD502" s="65"/>
      <c r="AE502" s="65"/>
    </row>
    <row r="503" spans="22:31" x14ac:dyDescent="0.2">
      <c r="V503" s="65"/>
      <c r="W503" s="65"/>
      <c r="X503" s="65"/>
      <c r="Y503" s="65"/>
      <c r="Z503" s="65"/>
      <c r="AA503" s="65"/>
      <c r="AB503" s="65"/>
      <c r="AC503" s="65"/>
      <c r="AD503" s="65"/>
      <c r="AE503" s="65"/>
    </row>
    <row r="504" spans="22:31" x14ac:dyDescent="0.2">
      <c r="V504" s="65"/>
      <c r="W504" s="65"/>
      <c r="X504" s="65"/>
      <c r="Y504" s="65"/>
      <c r="Z504" s="65"/>
      <c r="AA504" s="65"/>
      <c r="AB504" s="65"/>
      <c r="AC504" s="65"/>
      <c r="AD504" s="65"/>
      <c r="AE504" s="65"/>
    </row>
    <row r="505" spans="22:31" x14ac:dyDescent="0.2">
      <c r="V505" s="65"/>
      <c r="W505" s="65"/>
      <c r="X505" s="65"/>
      <c r="Y505" s="65"/>
      <c r="Z505" s="65"/>
      <c r="AA505" s="65"/>
      <c r="AB505" s="65"/>
      <c r="AC505" s="65"/>
      <c r="AD505" s="65"/>
      <c r="AE505" s="65"/>
    </row>
    <row r="506" spans="22:31" x14ac:dyDescent="0.2">
      <c r="V506" s="65"/>
      <c r="W506" s="65"/>
      <c r="X506" s="65"/>
      <c r="Y506" s="65"/>
      <c r="Z506" s="65"/>
      <c r="AA506" s="65"/>
      <c r="AB506" s="65"/>
      <c r="AC506" s="65"/>
      <c r="AD506" s="65"/>
      <c r="AE506" s="65"/>
    </row>
    <row r="507" spans="22:31" x14ac:dyDescent="0.2">
      <c r="V507" s="65"/>
      <c r="W507" s="65"/>
      <c r="X507" s="65"/>
      <c r="Y507" s="65"/>
      <c r="Z507" s="65"/>
      <c r="AA507" s="65"/>
      <c r="AB507" s="65"/>
      <c r="AC507" s="65"/>
      <c r="AD507" s="65"/>
      <c r="AE507" s="65"/>
    </row>
    <row r="508" spans="22:31" x14ac:dyDescent="0.2">
      <c r="V508" s="65"/>
      <c r="W508" s="65"/>
      <c r="X508" s="65"/>
      <c r="Y508" s="65"/>
      <c r="Z508" s="65"/>
      <c r="AA508" s="65"/>
      <c r="AB508" s="65"/>
      <c r="AC508" s="65"/>
      <c r="AD508" s="65"/>
      <c r="AE508" s="65"/>
    </row>
    <row r="509" spans="22:31" x14ac:dyDescent="0.2">
      <c r="V509" s="65"/>
      <c r="W509" s="65"/>
      <c r="X509" s="65"/>
      <c r="Y509" s="65"/>
      <c r="Z509" s="65"/>
      <c r="AA509" s="65"/>
      <c r="AB509" s="65"/>
      <c r="AC509" s="65"/>
      <c r="AD509" s="65"/>
      <c r="AE509" s="65"/>
    </row>
    <row r="510" spans="22:31" x14ac:dyDescent="0.2">
      <c r="V510" s="65"/>
      <c r="W510" s="65"/>
      <c r="X510" s="65"/>
      <c r="Y510" s="65"/>
      <c r="Z510" s="65"/>
      <c r="AA510" s="65"/>
      <c r="AB510" s="65"/>
      <c r="AC510" s="65"/>
      <c r="AD510" s="65"/>
      <c r="AE510" s="65"/>
    </row>
    <row r="511" spans="22:31" x14ac:dyDescent="0.2">
      <c r="V511" s="65"/>
      <c r="W511" s="65"/>
      <c r="X511" s="65"/>
      <c r="Y511" s="65"/>
      <c r="Z511" s="65"/>
      <c r="AA511" s="65"/>
      <c r="AB511" s="65"/>
      <c r="AC511" s="65"/>
      <c r="AD511" s="65"/>
      <c r="AE511" s="65"/>
    </row>
  </sheetData>
  <mergeCells count="1">
    <mergeCell ref="A1:U1"/>
  </mergeCells>
  <pageMargins left="0.19685039370078741" right="0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จัดสรรงบ 64 ทั้งปี (18-09-63)</vt:lpstr>
      <vt:lpstr>จัดสรรงบ 64  (ไตรมาส 1-2) </vt:lpstr>
      <vt:lpstr>จัดสรรงบ 64  (ไตรมาส 3-4)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</dc:creator>
  <cp:lastModifiedBy>Admin</cp:lastModifiedBy>
  <cp:lastPrinted>2020-09-22T02:39:02Z</cp:lastPrinted>
  <dcterms:created xsi:type="dcterms:W3CDTF">2009-10-21T08:47:50Z</dcterms:created>
  <dcterms:modified xsi:type="dcterms:W3CDTF">2020-09-22T02:55:23Z</dcterms:modified>
</cp:coreProperties>
</file>