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งบ 59\Web upload กองงบประมาณ\"/>
    </mc:Choice>
  </mc:AlternateContent>
  <bookViews>
    <workbookView xWindow="360" yWindow="120" windowWidth="11340" windowHeight="6285" tabRatio="713"/>
  </bookViews>
  <sheets>
    <sheet name="ภ.5 (อื่น) " sheetId="80" r:id="rId1"/>
    <sheet name="ศชต.(อื่น)" sheetId="94" r:id="rId2"/>
    <sheet name="สตม.(อื่น)" sheetId="96" r:id="rId3"/>
    <sheet name="สทส.(อื่น)" sheetId="95" r:id="rId4"/>
    <sheet name="สกบ.(อื่น)" sheetId="93" r:id="rId5"/>
    <sheet name="สรุป PO" sheetId="92" state="hidden" r:id="rId6"/>
    <sheet name="บช.น." sheetId="19" state="hidden" r:id="rId7"/>
    <sheet name="ภ.1" sheetId="5" state="hidden" r:id="rId8"/>
    <sheet name="ภ.2" sheetId="9" state="hidden" r:id="rId9"/>
    <sheet name="ภ.3" sheetId="14" state="hidden" r:id="rId10"/>
    <sheet name="ภ.4" sheetId="25" state="hidden" r:id="rId11"/>
    <sheet name="ภ.5" sheetId="4" state="hidden" r:id="rId12"/>
    <sheet name="ภ.6" sheetId="24" state="hidden" r:id="rId13"/>
    <sheet name="ภ.7" sheetId="23" state="hidden" r:id="rId14"/>
    <sheet name="ภ.8" sheetId="22" state="hidden" r:id="rId15"/>
    <sheet name="ภ.9" sheetId="21" state="hidden" r:id="rId16"/>
    <sheet name="ศชต." sheetId="20" state="hidden" r:id="rId17"/>
    <sheet name="บช.ก." sheetId="18" state="hidden" r:id="rId18"/>
    <sheet name="รน." sheetId="77" state="hidden" r:id="rId19"/>
    <sheet name="บช.ปส." sheetId="35" state="hidden" r:id="rId20"/>
    <sheet name="บช.ส." sheetId="17" state="hidden" r:id="rId21"/>
    <sheet name="สตม." sheetId="16" state="hidden" r:id="rId22"/>
    <sheet name="บช.ตชด." sheetId="15" state="hidden" r:id="rId23"/>
    <sheet name="สง.นรป." sheetId="88" state="hidden" r:id="rId24"/>
    <sheet name="สพฐ.ตร." sheetId="11" state="hidden" r:id="rId25"/>
    <sheet name="สทส." sheetId="8" state="hidden" r:id="rId26"/>
    <sheet name="บช.ศ." sheetId="42" state="hidden" r:id="rId27"/>
    <sheet name="รร.นรต." sheetId="43" state="hidden" r:id="rId28"/>
    <sheet name="รพ.ตร." sheetId="7" state="hidden" r:id="rId29"/>
    <sheet name="สยศ.ตร." sheetId="67" state="hidden" r:id="rId30"/>
    <sheet name="สกบ." sheetId="45" state="hidden" r:id="rId31"/>
    <sheet name="สกพ." sheetId="47" state="hidden" r:id="rId32"/>
    <sheet name="สงป." sheetId="83" state="hidden" r:id="rId33"/>
    <sheet name="กมค." sheetId="73" state="hidden" r:id="rId34"/>
    <sheet name="สง.ก.ตร." sheetId="62" state="hidden" r:id="rId35"/>
    <sheet name="จต." sheetId="44" state="hidden" r:id="rId36"/>
    <sheet name="สตส." sheetId="70" state="hidden" r:id="rId37"/>
    <sheet name="สลก.ตร." sheetId="48" state="hidden" r:id="rId38"/>
    <sheet name="ตท." sheetId="69" state="hidden" r:id="rId39"/>
    <sheet name="สท." sheetId="36" state="hidden" r:id="rId40"/>
    <sheet name="สง.ก.ต.ช." sheetId="87" state="hidden" r:id="rId41"/>
    <sheet name="บ.ตร." sheetId="26" state="hidden" r:id="rId42"/>
    <sheet name="วน." sheetId="71" state="hidden" r:id="rId43"/>
    <sheet name="สรุป" sheetId="79" state="hidden" r:id="rId44"/>
    <sheet name="Sheet2" sheetId="81" state="hidden" r:id="rId45"/>
    <sheet name="Sheet3" sheetId="82" state="hidden" r:id="rId46"/>
    <sheet name="Units" sheetId="89" state="hidden" r:id="rId47"/>
    <sheet name="Sheet5" sheetId="91" state="hidden" r:id="rId48"/>
    <sheet name="จัดลำดับ" sheetId="84" state="hidden" r:id="rId49"/>
    <sheet name="Sheet4" sheetId="85" state="hidden" r:id="rId50"/>
    <sheet name="Sheet1" sheetId="78" state="hidden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xlnm._FilterDatabase" localSheetId="33" hidden="1">กมค.!$N$1:$N$32</definedName>
    <definedName name="_xlnm._FilterDatabase" localSheetId="35" hidden="1">จต.!$N$1:$N$25</definedName>
    <definedName name="_xlnm._FilterDatabase" localSheetId="38" hidden="1">ตท.!$N$1:$N$33</definedName>
    <definedName name="_xlnm._FilterDatabase" localSheetId="41" hidden="1">บ.ตร.!$N$1:$N$37</definedName>
    <definedName name="_xlnm._FilterDatabase" localSheetId="17" hidden="1">บช.ก.!$N$1:$N$48</definedName>
    <definedName name="_xlnm._FilterDatabase" localSheetId="22" hidden="1">บช.ตชด.!$N$1:$N$90</definedName>
    <definedName name="_xlnm._FilterDatabase" localSheetId="6" hidden="1">บช.น.!$N$1:$N$39</definedName>
    <definedName name="_xlnm._FilterDatabase" localSheetId="19" hidden="1">บช.ปส.!$N$1:$N$66</definedName>
    <definedName name="_xlnm._FilterDatabase" localSheetId="26" hidden="1">บช.ศ.!$N$1:$N$45</definedName>
    <definedName name="_xlnm._FilterDatabase" localSheetId="20" hidden="1">บช.ส.!$N$1:$N$30</definedName>
    <definedName name="_xlnm._FilterDatabase" localSheetId="7" hidden="1">ภ.1!$N$1:$N$30</definedName>
    <definedName name="_xlnm._FilterDatabase" localSheetId="8" hidden="1">ภ.2!$N$1:$N$37</definedName>
    <definedName name="_xlnm._FilterDatabase" localSheetId="9" hidden="1">ภ.3!$N$1:$N$29</definedName>
    <definedName name="_xlnm._FilterDatabase" localSheetId="10" hidden="1">ภ.4!$N$1:$N$33</definedName>
    <definedName name="_xlnm._FilterDatabase" localSheetId="11" hidden="1">ภ.5!$N$1:$N$44</definedName>
    <definedName name="_xlnm._FilterDatabase" localSheetId="12" hidden="1">ภ.6!$N$1:$N$41</definedName>
    <definedName name="_xlnm._FilterDatabase" localSheetId="13" hidden="1">ภ.7!$N$1:$N$27</definedName>
    <definedName name="_xlnm._FilterDatabase" localSheetId="14" hidden="1">ภ.8!$N$1:$N$43</definedName>
    <definedName name="_xlnm._FilterDatabase" localSheetId="15" hidden="1">ภ.9!$N$1:$N$33</definedName>
    <definedName name="_xlnm._FilterDatabase" localSheetId="28" hidden="1">รพ.ตร.!$N$1:$N$29</definedName>
    <definedName name="_xlnm._FilterDatabase" localSheetId="27" hidden="1">รร.นรต.!$N$1:$N$30</definedName>
    <definedName name="_xlnm._FilterDatabase" localSheetId="42" hidden="1">วน.!$N$1:$N$27</definedName>
    <definedName name="_xlnm._FilterDatabase" localSheetId="16" hidden="1">ศชต.!$N$1:$N$62</definedName>
    <definedName name="_xlnm._FilterDatabase" localSheetId="30" hidden="1">สกบ.!$N$1:$N$65</definedName>
    <definedName name="_xlnm._FilterDatabase" localSheetId="31" hidden="1">สกพ.!$N$1:$N$30</definedName>
    <definedName name="_xlnm._FilterDatabase" localSheetId="34" hidden="1">สง.ก.ตร.!$N$1:$N$28</definedName>
    <definedName name="_xlnm._FilterDatabase" localSheetId="23" hidden="1">สง.นรป.!$N$1:$N$25</definedName>
    <definedName name="_xlnm._FilterDatabase" localSheetId="32" hidden="1">สงป.!$N$1:$N$25</definedName>
    <definedName name="_xlnm._FilterDatabase" localSheetId="21" hidden="1">สตม.!$N$1:$N$42</definedName>
    <definedName name="_xlnm._FilterDatabase" localSheetId="39" hidden="1">สท.!$N$1:$N$31</definedName>
    <definedName name="_xlnm._FilterDatabase" localSheetId="25" hidden="1">สทส.!$N$1:$N$35</definedName>
    <definedName name="_xlnm._FilterDatabase" localSheetId="24" hidden="1">สพฐ.ตร.!$N$1:$N$33</definedName>
    <definedName name="_xlnm._FilterDatabase" localSheetId="29" hidden="1">สยศ.ตร.!$N$1:$N$26</definedName>
    <definedName name="_xlnm._FilterDatabase" localSheetId="37" hidden="1">สลก.ตร.!$N$1:$N$31</definedName>
    <definedName name="_xlnm.Print_Area" localSheetId="38">ตท.!$A$1:$AT$29</definedName>
    <definedName name="_xlnm.Print_Area" localSheetId="17">บช.ก.!$A$1:$S$44</definedName>
    <definedName name="_xlnm.Print_Area" localSheetId="7">ภ.1!$A$1:$AU$26</definedName>
    <definedName name="_xlnm.Print_Area" localSheetId="8">ภ.2!$1:$43</definedName>
    <definedName name="_xlnm.Print_Area" localSheetId="9">ภ.3!$A$1:$BG$34</definedName>
    <definedName name="_xlnm.Print_Area" localSheetId="15">ภ.9!$A$1:$AT$29</definedName>
    <definedName name="_xlnm.Print_Area" localSheetId="16">ศชต.!$A$1:$S$58</definedName>
    <definedName name="_xlnm.Print_Area" localSheetId="31">สกพ.!$A$1:$AT$26</definedName>
    <definedName name="_xlnm.Print_Area" localSheetId="40">สง.ก.ต.ช.!$A$1:$AS$23</definedName>
    <definedName name="_xlnm.Print_Area" localSheetId="34">สง.ก.ตร.!$A$1:$AT$24</definedName>
    <definedName name="_xlnm.Print_Area" localSheetId="23">สง.นรป.!$A$1:$AT$21</definedName>
    <definedName name="_xlnm.Print_Area" localSheetId="21">สตม.!$A$1:$AT$38</definedName>
    <definedName name="_xlnm.Print_Area" localSheetId="36">สตส.!$A$1:$AZ$21</definedName>
    <definedName name="_xlnm.Print_Area" localSheetId="37">สลก.ตร.!$A$1:$AT$27</definedName>
    <definedName name="_xlnm.Print_Titles" localSheetId="44">Sheet2!$A:$B,Sheet2!$1:$4</definedName>
    <definedName name="_xlnm.Print_Titles" localSheetId="45">Sheet3!$1:$2</definedName>
    <definedName name="_xlnm.Print_Titles" localSheetId="49">Sheet4!$1:$4</definedName>
    <definedName name="_xlnm.Print_Titles" localSheetId="46">Units!$8:$9</definedName>
    <definedName name="_xlnm.Print_Titles" localSheetId="33">กมค.!$5:$8</definedName>
    <definedName name="_xlnm.Print_Titles" localSheetId="35">จต.!$5:$8</definedName>
    <definedName name="_xlnm.Print_Titles" localSheetId="38">ตท.!$5:$8</definedName>
    <definedName name="_xlnm.Print_Titles" localSheetId="41">บ.ตร.!$5:$8</definedName>
    <definedName name="_xlnm.Print_Titles" localSheetId="17">บช.ก.!$5:$8</definedName>
    <definedName name="_xlnm.Print_Titles" localSheetId="22">บช.ตชด.!$5:$8</definedName>
    <definedName name="_xlnm.Print_Titles" localSheetId="6">บช.น.!$5:$8</definedName>
    <definedName name="_xlnm.Print_Titles" localSheetId="19">บช.ปส.!$5:$8</definedName>
    <definedName name="_xlnm.Print_Titles" localSheetId="26">บช.ศ.!$5:$8</definedName>
    <definedName name="_xlnm.Print_Titles" localSheetId="20">บช.ส.!$5:$8</definedName>
    <definedName name="_xlnm.Print_Titles" localSheetId="7">ภ.1!$5:$8</definedName>
    <definedName name="_xlnm.Print_Titles" localSheetId="8">ภ.2!$5:$8</definedName>
    <definedName name="_xlnm.Print_Titles" localSheetId="9">ภ.3!$5:$8</definedName>
    <definedName name="_xlnm.Print_Titles" localSheetId="10">ภ.4!$5:$8</definedName>
    <definedName name="_xlnm.Print_Titles" localSheetId="11">ภ.5!$5:$8</definedName>
    <definedName name="_xlnm.Print_Titles" localSheetId="0">'ภ.5 (อื่น) '!$5:$8</definedName>
    <definedName name="_xlnm.Print_Titles" localSheetId="12">ภ.6!$5:$8</definedName>
    <definedName name="_xlnm.Print_Titles" localSheetId="13">ภ.7!$5:$8</definedName>
    <definedName name="_xlnm.Print_Titles" localSheetId="14">ภ.8!$5:$8</definedName>
    <definedName name="_xlnm.Print_Titles" localSheetId="15">ภ.9!$5:$8</definedName>
    <definedName name="_xlnm.Print_Titles" localSheetId="28">รพ.ตร.!$5:$8</definedName>
    <definedName name="_xlnm.Print_Titles" localSheetId="27">รร.นรต.!$5:$8</definedName>
    <definedName name="_xlnm.Print_Titles" localSheetId="16">ศชต.!$5:$8</definedName>
    <definedName name="_xlnm.Print_Titles" localSheetId="30">สกบ.!$5:$8</definedName>
    <definedName name="_xlnm.Print_Titles" localSheetId="31">สกพ.!$5:$8</definedName>
    <definedName name="_xlnm.Print_Titles" localSheetId="34">สง.ก.ตร.!$5:$8</definedName>
    <definedName name="_xlnm.Print_Titles" localSheetId="32">สงป.!$5:$8</definedName>
    <definedName name="_xlnm.Print_Titles" localSheetId="21">สตม.!$5:$8</definedName>
    <definedName name="_xlnm.Print_Titles" localSheetId="36">สตส.!$5:$8</definedName>
    <definedName name="_xlnm.Print_Titles" localSheetId="39">สท.!$5:$8</definedName>
    <definedName name="_xlnm.Print_Titles" localSheetId="25">สทส.!$5:$8</definedName>
    <definedName name="_xlnm.Print_Titles" localSheetId="24">สพฐ.ตร.!$5:$8</definedName>
    <definedName name="_xlnm.Print_Titles" localSheetId="29">สยศ.ตร.!$5:$8</definedName>
    <definedName name="_xlnm.Print_Titles" localSheetId="37">สลก.ตร.!$5:$8</definedName>
  </definedNames>
  <calcPr calcId="152511"/>
</workbook>
</file>

<file path=xl/calcChain.xml><?xml version="1.0" encoding="utf-8"?>
<calcChain xmlns="http://schemas.openxmlformats.org/spreadsheetml/2006/main">
  <c r="E2" i="92" l="1"/>
  <c r="A54" i="45" l="1"/>
  <c r="A31" i="19" l="1"/>
  <c r="A18" i="47" l="1"/>
  <c r="F14" i="94" l="1"/>
  <c r="F20" i="94"/>
  <c r="A20" i="94"/>
  <c r="L25" i="96" l="1"/>
  <c r="K25" i="96"/>
  <c r="J25" i="96"/>
  <c r="H25" i="96"/>
  <c r="G25" i="96"/>
  <c r="F25" i="96"/>
  <c r="A25" i="96"/>
  <c r="L20" i="96"/>
  <c r="K20" i="96"/>
  <c r="J20" i="96"/>
  <c r="H20" i="96"/>
  <c r="G20" i="96"/>
  <c r="F20" i="96"/>
  <c r="A20" i="96"/>
  <c r="A13" i="95"/>
  <c r="L19" i="95"/>
  <c r="K19" i="95"/>
  <c r="J19" i="95"/>
  <c r="H19" i="95"/>
  <c r="G19" i="95"/>
  <c r="F19" i="95"/>
  <c r="A19" i="95"/>
  <c r="L13" i="95"/>
  <c r="K13" i="95"/>
  <c r="K20" i="95" s="1"/>
  <c r="J13" i="95"/>
  <c r="H13" i="95"/>
  <c r="G13" i="95"/>
  <c r="F13" i="95"/>
  <c r="F20" i="95" s="1"/>
  <c r="A14" i="94"/>
  <c r="L20" i="94"/>
  <c r="K20" i="94"/>
  <c r="J20" i="94"/>
  <c r="H20" i="94"/>
  <c r="G20" i="94"/>
  <c r="L14" i="94"/>
  <c r="K14" i="94"/>
  <c r="J14" i="94"/>
  <c r="H14" i="94"/>
  <c r="G14" i="94"/>
  <c r="F15" i="80"/>
  <c r="F20" i="80"/>
  <c r="A20" i="80"/>
  <c r="A15" i="80"/>
  <c r="L19" i="93"/>
  <c r="K19" i="93"/>
  <c r="J19" i="93"/>
  <c r="H19" i="93"/>
  <c r="G19" i="93"/>
  <c r="F19" i="93"/>
  <c r="A19" i="93"/>
  <c r="L13" i="93"/>
  <c r="K13" i="93"/>
  <c r="J13" i="93"/>
  <c r="H13" i="93"/>
  <c r="G13" i="93"/>
  <c r="F13" i="93"/>
  <c r="A13" i="93"/>
  <c r="K26" i="96" l="1"/>
  <c r="F26" i="96"/>
  <c r="J20" i="93"/>
  <c r="A20" i="93"/>
  <c r="F20" i="93"/>
  <c r="K20" i="93"/>
  <c r="H20" i="93"/>
  <c r="L20" i="93"/>
  <c r="G20" i="93"/>
  <c r="A26" i="96"/>
  <c r="J26" i="96"/>
  <c r="G26" i="96"/>
  <c r="L26" i="96"/>
  <c r="H26" i="96"/>
  <c r="A20" i="95"/>
  <c r="H20" i="95"/>
  <c r="G20" i="95"/>
  <c r="L20" i="95"/>
  <c r="J20" i="95"/>
  <c r="G21" i="94"/>
  <c r="L21" i="94"/>
  <c r="H21" i="94"/>
  <c r="J21" i="94"/>
  <c r="A21" i="94"/>
  <c r="F21" i="94"/>
  <c r="K21" i="94"/>
  <c r="A38" i="15" l="1"/>
  <c r="A35" i="22" l="1"/>
  <c r="A21" i="69" l="1"/>
  <c r="A13" i="44" l="1"/>
  <c r="A19" i="73" l="1"/>
  <c r="A12" i="47" l="1"/>
  <c r="A44" i="45" l="1"/>
  <c r="M42" i="45"/>
  <c r="I42" i="45"/>
  <c r="M40" i="45" l="1"/>
  <c r="I40" i="45"/>
  <c r="A15" i="23" l="1"/>
  <c r="M41" i="45"/>
  <c r="I41" i="45"/>
  <c r="M18" i="45" l="1"/>
  <c r="M17" i="45"/>
  <c r="I17" i="45"/>
  <c r="M16" i="45"/>
  <c r="I16" i="45"/>
  <c r="M15" i="45"/>
  <c r="I15" i="45"/>
  <c r="M14" i="45"/>
  <c r="I14" i="45"/>
  <c r="M13" i="45"/>
  <c r="I13" i="45"/>
  <c r="M12" i="45"/>
  <c r="I12" i="45"/>
  <c r="M39" i="45"/>
  <c r="I39" i="45"/>
  <c r="M38" i="45"/>
  <c r="I38" i="45"/>
  <c r="M37" i="45"/>
  <c r="I37" i="45"/>
  <c r="M36" i="45"/>
  <c r="I36" i="45"/>
  <c r="M35" i="45"/>
  <c r="I35" i="45"/>
  <c r="M34" i="45"/>
  <c r="I34" i="45"/>
  <c r="M33" i="45"/>
  <c r="I33" i="45"/>
  <c r="M32" i="45"/>
  <c r="I32" i="45"/>
  <c r="M31" i="45"/>
  <c r="I31" i="45"/>
  <c r="M30" i="45"/>
  <c r="I30" i="45"/>
  <c r="M29" i="45"/>
  <c r="I29" i="45"/>
  <c r="M28" i="45"/>
  <c r="I28" i="45"/>
  <c r="M27" i="45"/>
  <c r="I27" i="45"/>
  <c r="M26" i="45"/>
  <c r="I26" i="45"/>
  <c r="M25" i="45"/>
  <c r="I25" i="45"/>
  <c r="M24" i="45"/>
  <c r="I24" i="45"/>
  <c r="M23" i="45"/>
  <c r="I23" i="45"/>
  <c r="M22" i="45"/>
  <c r="I22" i="45"/>
  <c r="M21" i="45"/>
  <c r="I21" i="45"/>
  <c r="M20" i="45"/>
  <c r="I20" i="45"/>
  <c r="M19" i="45"/>
  <c r="I19" i="45"/>
  <c r="M11" i="45"/>
  <c r="I11" i="45"/>
  <c r="F44" i="45"/>
  <c r="M52" i="45"/>
  <c r="I52" i="45"/>
  <c r="M51" i="45"/>
  <c r="I51" i="45"/>
  <c r="M50" i="45"/>
  <c r="I50" i="45"/>
  <c r="M49" i="45"/>
  <c r="I49" i="45"/>
  <c r="M46" i="45"/>
  <c r="I46" i="45"/>
  <c r="M48" i="45"/>
  <c r="I48" i="45"/>
  <c r="M47" i="45"/>
  <c r="I47" i="45"/>
  <c r="A17" i="7" l="1"/>
  <c r="A28" i="35" l="1"/>
  <c r="A38" i="18" l="1"/>
  <c r="M52" i="20" l="1"/>
  <c r="I52" i="20"/>
  <c r="A27" i="20"/>
  <c r="M25" i="20"/>
  <c r="I25" i="20"/>
  <c r="M24" i="20"/>
  <c r="I24" i="20"/>
  <c r="M23" i="20"/>
  <c r="I23" i="20"/>
  <c r="A25" i="21" l="1"/>
  <c r="A19" i="21"/>
  <c r="M23" i="21" l="1"/>
  <c r="L23" i="21"/>
  <c r="K23" i="21"/>
  <c r="J23" i="21"/>
  <c r="I23" i="21"/>
  <c r="M17" i="21"/>
  <c r="L17" i="21"/>
  <c r="K17" i="21"/>
  <c r="J17" i="21"/>
  <c r="I17" i="21"/>
  <c r="M16" i="21"/>
  <c r="L16" i="21"/>
  <c r="K16" i="21"/>
  <c r="J16" i="21"/>
  <c r="I16" i="21"/>
  <c r="M15" i="21"/>
  <c r="L15" i="21"/>
  <c r="K15" i="21"/>
  <c r="J15" i="21"/>
  <c r="I15" i="21"/>
  <c r="M33" i="22" l="1"/>
  <c r="I33" i="22"/>
  <c r="F27" i="22"/>
  <c r="A27" i="22"/>
  <c r="M25" i="22"/>
  <c r="I25" i="22"/>
  <c r="M24" i="22"/>
  <c r="I24" i="22"/>
  <c r="M23" i="22"/>
  <c r="I23" i="22"/>
  <c r="M13" i="23" l="1"/>
  <c r="I13" i="23"/>
  <c r="M12" i="23"/>
  <c r="I12" i="23"/>
  <c r="M11" i="23"/>
  <c r="I11" i="23"/>
  <c r="M31" i="24" l="1"/>
  <c r="I31" i="24"/>
  <c r="A33" i="24"/>
  <c r="M15" i="24"/>
  <c r="I15" i="24"/>
  <c r="M14" i="24"/>
  <c r="I14" i="24"/>
  <c r="M13" i="24"/>
  <c r="I13" i="24"/>
  <c r="A17" i="24"/>
  <c r="A36" i="4" l="1"/>
  <c r="M34" i="4"/>
  <c r="I34" i="4"/>
  <c r="A28" i="4"/>
  <c r="M26" i="4"/>
  <c r="I26" i="4"/>
  <c r="M25" i="4"/>
  <c r="I25" i="4"/>
  <c r="M24" i="4"/>
  <c r="I24" i="4"/>
  <c r="A21" i="25" l="1"/>
  <c r="M19" i="25"/>
  <c r="I19" i="25"/>
  <c r="M18" i="25"/>
  <c r="I18" i="25"/>
  <c r="M17" i="25"/>
  <c r="I17" i="25"/>
  <c r="A21" i="14" l="1"/>
  <c r="M19" i="14"/>
  <c r="I19" i="14"/>
  <c r="M27" i="9" l="1"/>
  <c r="I27" i="9"/>
  <c r="A29" i="9"/>
  <c r="M21" i="9"/>
  <c r="L21" i="9"/>
  <c r="K21" i="9"/>
  <c r="J21" i="9"/>
  <c r="I21" i="9"/>
  <c r="M20" i="9"/>
  <c r="L20" i="9"/>
  <c r="K20" i="9"/>
  <c r="J20" i="9"/>
  <c r="I20" i="9"/>
  <c r="M19" i="9"/>
  <c r="L19" i="9"/>
  <c r="K19" i="9"/>
  <c r="J19" i="9"/>
  <c r="I19" i="9"/>
  <c r="M20" i="5" l="1"/>
  <c r="I20" i="5"/>
  <c r="A22" i="5"/>
  <c r="A18" i="5"/>
  <c r="M16" i="5"/>
  <c r="I16" i="5"/>
  <c r="M15" i="5"/>
  <c r="I15" i="5"/>
  <c r="M14" i="5"/>
  <c r="I14" i="5"/>
  <c r="F18" i="5"/>
  <c r="M25" i="19" l="1"/>
  <c r="I25" i="19"/>
  <c r="M24" i="19"/>
  <c r="I24" i="19"/>
  <c r="M23" i="19"/>
  <c r="I23" i="19"/>
  <c r="F27" i="19"/>
  <c r="A27" i="19"/>
  <c r="M29" i="19"/>
  <c r="I29" i="19"/>
  <c r="I11" i="19" l="1"/>
  <c r="M13" i="71" l="1"/>
  <c r="I13" i="71"/>
  <c r="M12" i="71"/>
  <c r="I12" i="71"/>
  <c r="M11" i="71"/>
  <c r="I11" i="71"/>
  <c r="M27" i="26"/>
  <c r="I27" i="26"/>
  <c r="M26" i="26"/>
  <c r="I26" i="26"/>
  <c r="M25" i="26"/>
  <c r="I25" i="26"/>
  <c r="M24" i="26"/>
  <c r="I24" i="26"/>
  <c r="M20" i="26"/>
  <c r="I20" i="26"/>
  <c r="M19" i="26"/>
  <c r="I19" i="26"/>
  <c r="M18" i="26"/>
  <c r="I18" i="26"/>
  <c r="M17" i="26"/>
  <c r="I17" i="26"/>
  <c r="M16" i="26"/>
  <c r="I16" i="26"/>
  <c r="M15" i="26"/>
  <c r="I15" i="26"/>
  <c r="M14" i="26"/>
  <c r="I14" i="26"/>
  <c r="M13" i="26"/>
  <c r="I13" i="26"/>
  <c r="M12" i="26"/>
  <c r="I12" i="26"/>
  <c r="M11" i="26"/>
  <c r="I11" i="26"/>
  <c r="M17" i="36"/>
  <c r="I17" i="36"/>
  <c r="M16" i="36"/>
  <c r="I16" i="36"/>
  <c r="M15" i="36"/>
  <c r="I15" i="36"/>
  <c r="M14" i="36"/>
  <c r="I14" i="36"/>
  <c r="M13" i="36"/>
  <c r="I13" i="36"/>
  <c r="M12" i="36"/>
  <c r="I12" i="36"/>
  <c r="M11" i="36"/>
  <c r="I11" i="36"/>
  <c r="M19" i="69"/>
  <c r="I19" i="69"/>
  <c r="M18" i="69"/>
  <c r="I18" i="69"/>
  <c r="M17" i="69"/>
  <c r="I17" i="69"/>
  <c r="M16" i="69"/>
  <c r="I16" i="69"/>
  <c r="M15" i="69"/>
  <c r="I15" i="69"/>
  <c r="M14" i="69"/>
  <c r="I14" i="69"/>
  <c r="M13" i="69"/>
  <c r="I13" i="69"/>
  <c r="M12" i="69"/>
  <c r="I12" i="69"/>
  <c r="M11" i="69"/>
  <c r="I11" i="69"/>
  <c r="M17" i="48"/>
  <c r="I17" i="48"/>
  <c r="M16" i="48"/>
  <c r="I16" i="48"/>
  <c r="M15" i="48"/>
  <c r="I15" i="48"/>
  <c r="M14" i="48"/>
  <c r="I14" i="48"/>
  <c r="M13" i="48"/>
  <c r="I13" i="48"/>
  <c r="M12" i="48"/>
  <c r="I12" i="48"/>
  <c r="M11" i="48"/>
  <c r="I11" i="48"/>
  <c r="M11" i="44"/>
  <c r="I11" i="44"/>
  <c r="M14" i="62"/>
  <c r="I14" i="62"/>
  <c r="M13" i="62"/>
  <c r="I13" i="62"/>
  <c r="M12" i="62"/>
  <c r="I12" i="62"/>
  <c r="M11" i="62"/>
  <c r="I11" i="62"/>
  <c r="M22" i="73"/>
  <c r="I22" i="73"/>
  <c r="M21" i="73"/>
  <c r="I21" i="73"/>
  <c r="M17" i="73"/>
  <c r="I17" i="73"/>
  <c r="M16" i="73"/>
  <c r="I16" i="73"/>
  <c r="M15" i="73"/>
  <c r="I15" i="73"/>
  <c r="M14" i="73"/>
  <c r="I14" i="73"/>
  <c r="M13" i="73"/>
  <c r="I13" i="73"/>
  <c r="M12" i="73"/>
  <c r="I12" i="73"/>
  <c r="M11" i="73"/>
  <c r="I11" i="73"/>
  <c r="M11" i="83"/>
  <c r="I11" i="83"/>
  <c r="M16" i="47"/>
  <c r="I16" i="47"/>
  <c r="M15" i="47"/>
  <c r="I15" i="47"/>
  <c r="M14" i="47"/>
  <c r="I14" i="47"/>
  <c r="M12" i="67"/>
  <c r="I12" i="67"/>
  <c r="M11" i="67"/>
  <c r="I11" i="67"/>
  <c r="M15" i="7"/>
  <c r="I15" i="7"/>
  <c r="M14" i="7"/>
  <c r="I14" i="7"/>
  <c r="M13" i="7"/>
  <c r="I13" i="7"/>
  <c r="M12" i="7"/>
  <c r="I12" i="7"/>
  <c r="M11" i="7"/>
  <c r="I11" i="7"/>
  <c r="M16" i="43"/>
  <c r="I16" i="43"/>
  <c r="M15" i="43"/>
  <c r="I15" i="43"/>
  <c r="M14" i="43"/>
  <c r="I14" i="43"/>
  <c r="M13" i="43"/>
  <c r="I13" i="43"/>
  <c r="M12" i="43"/>
  <c r="I12" i="43"/>
  <c r="M11" i="43"/>
  <c r="I11" i="43"/>
  <c r="M35" i="42"/>
  <c r="I35" i="42"/>
  <c r="M34" i="42"/>
  <c r="I34" i="42"/>
  <c r="M33" i="42"/>
  <c r="I33" i="42"/>
  <c r="M32" i="42"/>
  <c r="I32" i="42"/>
  <c r="M31" i="42"/>
  <c r="I31" i="42"/>
  <c r="M30" i="42"/>
  <c r="I30" i="42"/>
  <c r="M29" i="42"/>
  <c r="I29" i="42"/>
  <c r="M28" i="42"/>
  <c r="I28" i="42"/>
  <c r="M27" i="42"/>
  <c r="I27" i="42"/>
  <c r="M23" i="42"/>
  <c r="I23" i="42"/>
  <c r="M22" i="42"/>
  <c r="I22" i="42"/>
  <c r="M21" i="42"/>
  <c r="I21" i="42"/>
  <c r="M20" i="42"/>
  <c r="I20" i="42"/>
  <c r="M19" i="42"/>
  <c r="I19" i="42"/>
  <c r="M18" i="42"/>
  <c r="I18" i="42"/>
  <c r="M17" i="42"/>
  <c r="I17" i="42"/>
  <c r="M16" i="42"/>
  <c r="I16" i="42"/>
  <c r="M15" i="42"/>
  <c r="I15" i="42"/>
  <c r="M14" i="42"/>
  <c r="I14" i="42"/>
  <c r="M13" i="42"/>
  <c r="I13" i="42"/>
  <c r="M12" i="42"/>
  <c r="I12" i="42"/>
  <c r="M11" i="42"/>
  <c r="I11" i="42"/>
  <c r="M25" i="8"/>
  <c r="I25" i="8"/>
  <c r="M24" i="8"/>
  <c r="I24" i="8"/>
  <c r="M20" i="8"/>
  <c r="I20" i="8"/>
  <c r="M19" i="8"/>
  <c r="I19" i="8"/>
  <c r="M18" i="8"/>
  <c r="I18" i="8"/>
  <c r="M17" i="8"/>
  <c r="I17" i="8"/>
  <c r="M16" i="8"/>
  <c r="I16" i="8"/>
  <c r="M15" i="8"/>
  <c r="I15" i="8"/>
  <c r="M14" i="8"/>
  <c r="I14" i="8"/>
  <c r="M13" i="8"/>
  <c r="I13" i="8"/>
  <c r="M12" i="8"/>
  <c r="I12" i="8"/>
  <c r="M11" i="8"/>
  <c r="I11" i="8"/>
  <c r="M23" i="11"/>
  <c r="I23" i="11"/>
  <c r="M22" i="11"/>
  <c r="I22" i="11"/>
  <c r="M21" i="11"/>
  <c r="I21" i="11"/>
  <c r="M17" i="11"/>
  <c r="I17" i="11"/>
  <c r="M16" i="11"/>
  <c r="I16" i="11"/>
  <c r="M15" i="11"/>
  <c r="I15" i="11"/>
  <c r="M14" i="11"/>
  <c r="I14" i="11"/>
  <c r="M13" i="11"/>
  <c r="I13" i="11"/>
  <c r="M12" i="11"/>
  <c r="I12" i="11"/>
  <c r="M11" i="11"/>
  <c r="I11" i="11"/>
  <c r="M11" i="88"/>
  <c r="I11" i="88"/>
  <c r="M80" i="15"/>
  <c r="I80" i="15"/>
  <c r="M79" i="15"/>
  <c r="I79" i="15"/>
  <c r="M78" i="15"/>
  <c r="I78" i="15"/>
  <c r="M77" i="15"/>
  <c r="I77" i="15"/>
  <c r="M76" i="15"/>
  <c r="I76" i="15"/>
  <c r="M75" i="15"/>
  <c r="I75" i="15"/>
  <c r="M74" i="15"/>
  <c r="I74" i="15"/>
  <c r="M73" i="15"/>
  <c r="I73" i="15"/>
  <c r="M72" i="15"/>
  <c r="I72" i="15"/>
  <c r="M71" i="15"/>
  <c r="I71" i="15"/>
  <c r="M70" i="15"/>
  <c r="I70" i="15"/>
  <c r="M69" i="15"/>
  <c r="I69" i="15"/>
  <c r="M68" i="15"/>
  <c r="I68" i="15"/>
  <c r="M67" i="15"/>
  <c r="I67" i="15"/>
  <c r="M66" i="15"/>
  <c r="I66" i="15"/>
  <c r="M65" i="15"/>
  <c r="I65" i="15"/>
  <c r="M64" i="15"/>
  <c r="I64" i="15"/>
  <c r="M63" i="15"/>
  <c r="I63" i="15"/>
  <c r="M62" i="15"/>
  <c r="I62" i="15"/>
  <c r="M61" i="15"/>
  <c r="I61" i="15"/>
  <c r="M60" i="15"/>
  <c r="I60" i="15"/>
  <c r="M59" i="15"/>
  <c r="I59" i="15"/>
  <c r="M58" i="15"/>
  <c r="I58" i="15"/>
  <c r="M57" i="15"/>
  <c r="I57" i="15"/>
  <c r="M56" i="15"/>
  <c r="I56" i="15"/>
  <c r="M55" i="15"/>
  <c r="I55" i="15"/>
  <c r="M54" i="15"/>
  <c r="I54" i="15"/>
  <c r="M53" i="15"/>
  <c r="I53" i="15"/>
  <c r="M52" i="15"/>
  <c r="I52" i="15"/>
  <c r="M51" i="15"/>
  <c r="I51" i="15"/>
  <c r="M50" i="15"/>
  <c r="I50" i="15"/>
  <c r="M49" i="15"/>
  <c r="I49" i="15"/>
  <c r="M48" i="15"/>
  <c r="I48" i="15"/>
  <c r="M47" i="15"/>
  <c r="I47" i="15"/>
  <c r="M46" i="15"/>
  <c r="I46" i="15"/>
  <c r="M45" i="15"/>
  <c r="I45" i="15"/>
  <c r="M44" i="15"/>
  <c r="I44" i="15"/>
  <c r="M43" i="15"/>
  <c r="I43" i="15"/>
  <c r="M42" i="15"/>
  <c r="I42" i="15"/>
  <c r="M41" i="15"/>
  <c r="I41" i="15"/>
  <c r="M40" i="15"/>
  <c r="I40" i="15"/>
  <c r="M36" i="15"/>
  <c r="I36" i="15"/>
  <c r="M35" i="15"/>
  <c r="I35" i="15"/>
  <c r="M34" i="15"/>
  <c r="I34" i="15"/>
  <c r="M33" i="15"/>
  <c r="I33" i="15"/>
  <c r="M32" i="15"/>
  <c r="I32" i="15"/>
  <c r="M31" i="15"/>
  <c r="I31" i="15"/>
  <c r="M30" i="15"/>
  <c r="I30" i="15"/>
  <c r="M29" i="15"/>
  <c r="I29" i="15"/>
  <c r="M28" i="15"/>
  <c r="I28" i="15"/>
  <c r="M27" i="15"/>
  <c r="I27" i="15"/>
  <c r="M26" i="15"/>
  <c r="I26" i="15"/>
  <c r="M25" i="15"/>
  <c r="I25" i="15"/>
  <c r="M24" i="15"/>
  <c r="I24" i="15"/>
  <c r="M23" i="15"/>
  <c r="I23" i="15"/>
  <c r="M22" i="15"/>
  <c r="I22" i="15"/>
  <c r="M21" i="15"/>
  <c r="I21" i="15"/>
  <c r="M20" i="15"/>
  <c r="I20" i="15"/>
  <c r="M19" i="15"/>
  <c r="I19" i="15"/>
  <c r="M18" i="15"/>
  <c r="I18" i="15"/>
  <c r="M17" i="15"/>
  <c r="I17" i="15"/>
  <c r="M16" i="15"/>
  <c r="I16" i="15"/>
  <c r="M15" i="15"/>
  <c r="I15" i="15"/>
  <c r="M14" i="15"/>
  <c r="I14" i="15"/>
  <c r="M13" i="15"/>
  <c r="I13" i="15"/>
  <c r="M12" i="15"/>
  <c r="I12" i="15"/>
  <c r="M11" i="15"/>
  <c r="I11" i="15"/>
  <c r="M31" i="16"/>
  <c r="I31" i="16"/>
  <c r="M30" i="16"/>
  <c r="I30" i="16"/>
  <c r="M29" i="16"/>
  <c r="I29" i="16"/>
  <c r="M28" i="16"/>
  <c r="I28" i="16"/>
  <c r="M27" i="16"/>
  <c r="I27" i="16"/>
  <c r="M26" i="16"/>
  <c r="I26" i="16"/>
  <c r="M25" i="16"/>
  <c r="I25" i="16"/>
  <c r="M24" i="16"/>
  <c r="I24" i="16"/>
  <c r="M20" i="17"/>
  <c r="I20" i="17"/>
  <c r="M19" i="17"/>
  <c r="I19" i="17"/>
  <c r="M18" i="17"/>
  <c r="I18" i="17"/>
  <c r="M14" i="17"/>
  <c r="I14" i="17"/>
  <c r="M13" i="17"/>
  <c r="I13" i="17"/>
  <c r="M12" i="17"/>
  <c r="I12" i="17"/>
  <c r="M11" i="17"/>
  <c r="I11" i="17"/>
  <c r="M26" i="35"/>
  <c r="I26" i="35"/>
  <c r="M25" i="35"/>
  <c r="I25" i="35"/>
  <c r="M24" i="35"/>
  <c r="I24" i="35"/>
  <c r="M23" i="35"/>
  <c r="I23" i="35"/>
  <c r="M22" i="35"/>
  <c r="I22" i="35"/>
  <c r="M21" i="35"/>
  <c r="I21" i="35"/>
  <c r="M20" i="35"/>
  <c r="I20" i="35"/>
  <c r="M19" i="35"/>
  <c r="I19" i="35"/>
  <c r="M18" i="35"/>
  <c r="I18" i="35"/>
  <c r="M17" i="35"/>
  <c r="I17" i="35"/>
  <c r="M16" i="35"/>
  <c r="I16" i="35"/>
  <c r="M15" i="35"/>
  <c r="I15" i="35"/>
  <c r="M14" i="35"/>
  <c r="I14" i="35"/>
  <c r="M13" i="35"/>
  <c r="I13" i="35"/>
  <c r="M12" i="35"/>
  <c r="I12" i="35"/>
  <c r="M11" i="35"/>
  <c r="I11" i="35"/>
  <c r="M36" i="18"/>
  <c r="I36" i="18"/>
  <c r="M32" i="18"/>
  <c r="I32" i="18"/>
  <c r="M31" i="18"/>
  <c r="I31" i="18"/>
  <c r="M30" i="18"/>
  <c r="I30" i="18"/>
  <c r="M29" i="18"/>
  <c r="I29" i="18"/>
  <c r="M28" i="18"/>
  <c r="I28" i="18"/>
  <c r="M27" i="18"/>
  <c r="I27" i="18"/>
  <c r="M26" i="18"/>
  <c r="I26" i="18"/>
  <c r="M25" i="18"/>
  <c r="I25" i="18"/>
  <c r="M24" i="18"/>
  <c r="I24" i="18"/>
  <c r="M23" i="18"/>
  <c r="I23" i="18"/>
  <c r="M22" i="18"/>
  <c r="I22" i="18"/>
  <c r="M21" i="18"/>
  <c r="I21" i="18"/>
  <c r="M20" i="18"/>
  <c r="I20" i="18"/>
  <c r="M19" i="18"/>
  <c r="I19" i="18"/>
  <c r="M18" i="18"/>
  <c r="I18" i="18"/>
  <c r="M17" i="18"/>
  <c r="I17" i="18"/>
  <c r="M16" i="18"/>
  <c r="I16" i="18"/>
  <c r="M15" i="18"/>
  <c r="I15" i="18"/>
  <c r="M14" i="18"/>
  <c r="I14" i="18"/>
  <c r="M13" i="18"/>
  <c r="I13" i="18"/>
  <c r="M12" i="18"/>
  <c r="I12" i="18"/>
  <c r="M11" i="18"/>
  <c r="I11" i="18"/>
  <c r="M51" i="20"/>
  <c r="I51" i="20"/>
  <c r="M50" i="20"/>
  <c r="I50" i="20"/>
  <c r="M49" i="20"/>
  <c r="I49" i="20"/>
  <c r="M48" i="20"/>
  <c r="I48" i="20"/>
  <c r="M47" i="20"/>
  <c r="I47" i="20"/>
  <c r="M46" i="20"/>
  <c r="I46" i="20"/>
  <c r="M45" i="20"/>
  <c r="I45" i="20"/>
  <c r="M44" i="20"/>
  <c r="I44" i="20"/>
  <c r="M43" i="20"/>
  <c r="I43" i="20"/>
  <c r="M42" i="20"/>
  <c r="I42" i="20"/>
  <c r="M41" i="20"/>
  <c r="I41" i="20"/>
  <c r="M40" i="20"/>
  <c r="I40" i="20"/>
  <c r="M39" i="20"/>
  <c r="I39" i="20"/>
  <c r="M38" i="20"/>
  <c r="I38" i="20"/>
  <c r="M37" i="20"/>
  <c r="I37" i="20"/>
  <c r="M36" i="20"/>
  <c r="I36" i="20"/>
  <c r="M35" i="20"/>
  <c r="I35" i="20"/>
  <c r="M34" i="20"/>
  <c r="I34" i="20"/>
  <c r="M33" i="20"/>
  <c r="I33" i="20"/>
  <c r="M32" i="20"/>
  <c r="I32" i="20"/>
  <c r="M31" i="20"/>
  <c r="I31" i="20"/>
  <c r="M30" i="20"/>
  <c r="I30" i="20"/>
  <c r="M29" i="20"/>
  <c r="I29" i="20"/>
  <c r="M22" i="20"/>
  <c r="I22" i="20"/>
  <c r="M21" i="20"/>
  <c r="I21" i="20"/>
  <c r="M20" i="20"/>
  <c r="I20" i="20"/>
  <c r="M19" i="20"/>
  <c r="I19" i="20"/>
  <c r="M18" i="20"/>
  <c r="I18" i="20"/>
  <c r="M17" i="20"/>
  <c r="I17" i="20"/>
  <c r="M16" i="20"/>
  <c r="I16" i="20"/>
  <c r="M15" i="20"/>
  <c r="I15" i="20"/>
  <c r="M14" i="20"/>
  <c r="I14" i="20"/>
  <c r="M13" i="20"/>
  <c r="I13" i="20"/>
  <c r="M12" i="20"/>
  <c r="I12" i="20"/>
  <c r="M11" i="20"/>
  <c r="I11" i="20"/>
  <c r="M22" i="21"/>
  <c r="L22" i="21"/>
  <c r="K22" i="21"/>
  <c r="J22" i="21"/>
  <c r="I22" i="21"/>
  <c r="M21" i="21"/>
  <c r="L21" i="21"/>
  <c r="K21" i="21"/>
  <c r="J21" i="21"/>
  <c r="I21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I11" i="21"/>
  <c r="M32" i="22"/>
  <c r="I32" i="22"/>
  <c r="M31" i="22"/>
  <c r="I31" i="22"/>
  <c r="M30" i="22"/>
  <c r="I30" i="22"/>
  <c r="M29" i="22"/>
  <c r="I29" i="22"/>
  <c r="M22" i="22"/>
  <c r="I22" i="22"/>
  <c r="M21" i="22"/>
  <c r="I21" i="22"/>
  <c r="M20" i="22"/>
  <c r="I20" i="22"/>
  <c r="M19" i="22"/>
  <c r="I19" i="22"/>
  <c r="M18" i="22"/>
  <c r="I18" i="22"/>
  <c r="M17" i="22"/>
  <c r="I17" i="22"/>
  <c r="M16" i="22"/>
  <c r="I16" i="22"/>
  <c r="M15" i="22"/>
  <c r="I15" i="22"/>
  <c r="M14" i="22"/>
  <c r="I14" i="22"/>
  <c r="M13" i="22"/>
  <c r="I13" i="22"/>
  <c r="M12" i="22"/>
  <c r="I12" i="22"/>
  <c r="M11" i="22"/>
  <c r="I11" i="22"/>
  <c r="M17" i="23"/>
  <c r="I17" i="23"/>
  <c r="M30" i="24"/>
  <c r="I30" i="24"/>
  <c r="M29" i="24"/>
  <c r="I29" i="24"/>
  <c r="M28" i="24"/>
  <c r="I28" i="24"/>
  <c r="M27" i="24"/>
  <c r="I27" i="24"/>
  <c r="M26" i="24"/>
  <c r="I26" i="24"/>
  <c r="M25" i="24"/>
  <c r="I25" i="24"/>
  <c r="M24" i="24"/>
  <c r="I24" i="24"/>
  <c r="M23" i="24"/>
  <c r="I23" i="24"/>
  <c r="M22" i="24"/>
  <c r="I22" i="24"/>
  <c r="M21" i="24"/>
  <c r="I21" i="24"/>
  <c r="M20" i="24"/>
  <c r="I20" i="24"/>
  <c r="M19" i="24"/>
  <c r="I19" i="24"/>
  <c r="M12" i="24"/>
  <c r="I12" i="24"/>
  <c r="M11" i="24"/>
  <c r="I11" i="24"/>
  <c r="M33" i="4"/>
  <c r="I33" i="4"/>
  <c r="M32" i="4"/>
  <c r="I32" i="4"/>
  <c r="M31" i="4"/>
  <c r="I31" i="4"/>
  <c r="M30" i="4"/>
  <c r="I30" i="4"/>
  <c r="M23" i="4"/>
  <c r="I23" i="4"/>
  <c r="M22" i="4"/>
  <c r="I22" i="4"/>
  <c r="M21" i="4"/>
  <c r="I21" i="4"/>
  <c r="M20" i="4"/>
  <c r="I20" i="4"/>
  <c r="M19" i="4"/>
  <c r="I19" i="4"/>
  <c r="M18" i="4"/>
  <c r="I18" i="4"/>
  <c r="M17" i="4"/>
  <c r="I17" i="4"/>
  <c r="M16" i="4"/>
  <c r="I16" i="4"/>
  <c r="M15" i="4"/>
  <c r="I15" i="4"/>
  <c r="M14" i="4"/>
  <c r="I14" i="4"/>
  <c r="M13" i="4"/>
  <c r="I13" i="4"/>
  <c r="M12" i="4"/>
  <c r="I12" i="4"/>
  <c r="M11" i="4"/>
  <c r="I11" i="4"/>
  <c r="M23" i="25"/>
  <c r="I23" i="25"/>
  <c r="M16" i="25"/>
  <c r="I16" i="25"/>
  <c r="M15" i="25"/>
  <c r="I15" i="25"/>
  <c r="M14" i="25"/>
  <c r="I14" i="25"/>
  <c r="M13" i="25"/>
  <c r="I13" i="25"/>
  <c r="M12" i="25"/>
  <c r="I12" i="25"/>
  <c r="M11" i="25"/>
  <c r="I11" i="25"/>
  <c r="M18" i="14"/>
  <c r="I18" i="14"/>
  <c r="M17" i="14"/>
  <c r="I17" i="14"/>
  <c r="M13" i="14"/>
  <c r="I13" i="14"/>
  <c r="M12" i="14"/>
  <c r="I12" i="14"/>
  <c r="M11" i="14"/>
  <c r="I11" i="14"/>
  <c r="M26" i="9"/>
  <c r="I26" i="9"/>
  <c r="M25" i="9"/>
  <c r="I25" i="9"/>
  <c r="M18" i="9"/>
  <c r="L18" i="9"/>
  <c r="K18" i="9"/>
  <c r="J18" i="9"/>
  <c r="I18" i="9"/>
  <c r="M17" i="9"/>
  <c r="L17" i="9"/>
  <c r="K17" i="9"/>
  <c r="J17" i="9"/>
  <c r="I17" i="9"/>
  <c r="M16" i="9"/>
  <c r="L16" i="9"/>
  <c r="K16" i="9"/>
  <c r="J16" i="9"/>
  <c r="I16" i="9"/>
  <c r="M15" i="9"/>
  <c r="L15" i="9"/>
  <c r="K15" i="9"/>
  <c r="J15" i="9"/>
  <c r="I15" i="9"/>
  <c r="M14" i="9"/>
  <c r="L14" i="9"/>
  <c r="K14" i="9"/>
  <c r="J14" i="9"/>
  <c r="I14" i="9"/>
  <c r="M13" i="9"/>
  <c r="L13" i="9"/>
  <c r="K13" i="9"/>
  <c r="J13" i="9"/>
  <c r="I13" i="9"/>
  <c r="M12" i="9"/>
  <c r="L12" i="9"/>
  <c r="K12" i="9"/>
  <c r="J12" i="9"/>
  <c r="I12" i="9"/>
  <c r="M11" i="9"/>
  <c r="I11" i="9"/>
  <c r="M13" i="5"/>
  <c r="I13" i="5"/>
  <c r="M12" i="5"/>
  <c r="I12" i="5"/>
  <c r="M11" i="5"/>
  <c r="I11" i="5"/>
  <c r="M22" i="19"/>
  <c r="I22" i="19"/>
  <c r="M21" i="19"/>
  <c r="I21" i="19"/>
  <c r="M20" i="19"/>
  <c r="I20" i="19"/>
  <c r="M19" i="19"/>
  <c r="I19" i="19"/>
  <c r="M18" i="19"/>
  <c r="I18" i="19"/>
  <c r="M17" i="19"/>
  <c r="I17" i="19"/>
  <c r="M16" i="19"/>
  <c r="I16" i="19"/>
  <c r="M15" i="19"/>
  <c r="I15" i="19"/>
  <c r="M14" i="19"/>
  <c r="I14" i="19"/>
  <c r="M13" i="19"/>
  <c r="I13" i="19"/>
  <c r="M12" i="19"/>
  <c r="I12" i="19"/>
  <c r="M11" i="19"/>
  <c r="J11" i="21"/>
  <c r="K11" i="21"/>
  <c r="L11" i="21"/>
  <c r="J11" i="9"/>
  <c r="K11" i="9"/>
  <c r="L11" i="9"/>
  <c r="K22" i="5"/>
  <c r="Q21" i="81" s="1"/>
  <c r="J31" i="19"/>
  <c r="K31" i="19"/>
  <c r="L31" i="19"/>
  <c r="J27" i="19"/>
  <c r="E20" i="81"/>
  <c r="E6" i="85" s="1"/>
  <c r="K27" i="19"/>
  <c r="L27" i="19"/>
  <c r="Q2" i="71"/>
  <c r="S3" i="26"/>
  <c r="S2" i="26"/>
  <c r="Q3" i="26"/>
  <c r="Q2" i="26"/>
  <c r="O2" i="87"/>
  <c r="Q3" i="36"/>
  <c r="Q2" i="36"/>
  <c r="Q2" i="69"/>
  <c r="Q2" i="48"/>
  <c r="O2" i="70"/>
  <c r="Q2" i="44"/>
  <c r="Q2" i="62"/>
  <c r="S3" i="73"/>
  <c r="Q3" i="73"/>
  <c r="Q2" i="73"/>
  <c r="Q2" i="83"/>
  <c r="S3" i="47"/>
  <c r="S2" i="47"/>
  <c r="Q2" i="47"/>
  <c r="T4" i="45"/>
  <c r="T3" i="45"/>
  <c r="T2" i="45"/>
  <c r="R4" i="45"/>
  <c r="R3" i="45"/>
  <c r="R2" i="45"/>
  <c r="Q3" i="67"/>
  <c r="Q2" i="67"/>
  <c r="S3" i="7"/>
  <c r="Q3" i="7"/>
  <c r="Q2" i="7"/>
  <c r="S3" i="43"/>
  <c r="Q3" i="43"/>
  <c r="Q2" i="43"/>
  <c r="S3" i="42"/>
  <c r="Q3" i="42"/>
  <c r="Q2" i="42"/>
  <c r="S3" i="8"/>
  <c r="Q3" i="8"/>
  <c r="Q2" i="8"/>
  <c r="S3" i="11"/>
  <c r="Q3" i="11"/>
  <c r="Q2" i="11"/>
  <c r="S3" i="88"/>
  <c r="S3" i="16"/>
  <c r="S3" i="17"/>
  <c r="Q3" i="17"/>
  <c r="Q2" i="17"/>
  <c r="Q4" i="35"/>
  <c r="Q3" i="35"/>
  <c r="Q2" i="35"/>
  <c r="S3" i="18"/>
  <c r="Q3" i="18"/>
  <c r="Q2" i="18"/>
  <c r="S3" i="20"/>
  <c r="S2" i="20"/>
  <c r="Q3" i="20"/>
  <c r="Q2" i="20"/>
  <c r="S3" i="21"/>
  <c r="Q3" i="21"/>
  <c r="Q2" i="21"/>
  <c r="S3" i="22"/>
  <c r="Q2" i="22"/>
  <c r="S3" i="23"/>
  <c r="Q3" i="23"/>
  <c r="S3" i="24"/>
  <c r="S2" i="24"/>
  <c r="Q3" i="24"/>
  <c r="Q2" i="24"/>
  <c r="S3" i="4"/>
  <c r="Q3" i="4"/>
  <c r="Q2" i="4"/>
  <c r="S3" i="25"/>
  <c r="Q2" i="25"/>
  <c r="S3" i="9"/>
  <c r="Q2" i="9"/>
  <c r="Q2" i="19"/>
  <c r="F15" i="71"/>
  <c r="F20" i="71" s="1"/>
  <c r="F29" i="26"/>
  <c r="F45" i="89" s="1"/>
  <c r="F22" i="26"/>
  <c r="F19" i="36"/>
  <c r="F19" i="48"/>
  <c r="F19" i="73"/>
  <c r="F24" i="73"/>
  <c r="F25" i="73" s="1"/>
  <c r="F13" i="83"/>
  <c r="F18" i="47"/>
  <c r="F12" i="47"/>
  <c r="F54" i="45"/>
  <c r="F34" i="89" s="1"/>
  <c r="G54" i="45"/>
  <c r="D34" i="89"/>
  <c r="F14" i="67"/>
  <c r="O14" i="67" s="1"/>
  <c r="C12" i="81" s="1"/>
  <c r="F21" i="7"/>
  <c r="F32" i="89" s="1"/>
  <c r="F17" i="7"/>
  <c r="F18" i="43"/>
  <c r="F37" i="42"/>
  <c r="F30" i="89" s="1"/>
  <c r="F25" i="42"/>
  <c r="F22" i="8"/>
  <c r="F27" i="8"/>
  <c r="F25" i="11"/>
  <c r="F28" i="89" s="1"/>
  <c r="F19" i="11"/>
  <c r="F82" i="15"/>
  <c r="F26" i="89" s="1"/>
  <c r="F38" i="15"/>
  <c r="D26" i="89" s="1"/>
  <c r="F33" i="16"/>
  <c r="O33" i="16" s="1"/>
  <c r="K35" i="81" s="1"/>
  <c r="O35" i="81" s="1"/>
  <c r="G82" i="85" s="1"/>
  <c r="F16" i="17"/>
  <c r="F22" i="17"/>
  <c r="F28" i="35"/>
  <c r="F38" i="18"/>
  <c r="F34" i="18"/>
  <c r="F54" i="20"/>
  <c r="F21" i="89" s="1"/>
  <c r="F27" i="20"/>
  <c r="D21" i="89" s="1"/>
  <c r="F25" i="21"/>
  <c r="F20" i="89" s="1"/>
  <c r="F19" i="21"/>
  <c r="D20" i="89" s="1"/>
  <c r="F35" i="22"/>
  <c r="F19" i="23"/>
  <c r="F15" i="23"/>
  <c r="F33" i="24"/>
  <c r="F17" i="89" s="1"/>
  <c r="F17" i="24"/>
  <c r="D17" i="89" s="1"/>
  <c r="F28" i="4"/>
  <c r="F36" i="4"/>
  <c r="F21" i="25"/>
  <c r="F25" i="25"/>
  <c r="F15" i="89" s="1"/>
  <c r="F21" i="14"/>
  <c r="G21" i="14"/>
  <c r="H27" i="19"/>
  <c r="H31" i="19"/>
  <c r="H32" i="19"/>
  <c r="F15" i="14"/>
  <c r="D14" i="89" s="1"/>
  <c r="F29" i="9"/>
  <c r="F13" i="89" s="1"/>
  <c r="F23" i="9"/>
  <c r="D13" i="89" s="1"/>
  <c r="F22" i="5"/>
  <c r="F12" i="89" s="1"/>
  <c r="P46" i="45"/>
  <c r="C34" i="89"/>
  <c r="C32" i="89"/>
  <c r="A37" i="42"/>
  <c r="E30" i="89" s="1"/>
  <c r="A25" i="42"/>
  <c r="C30" i="89" s="1"/>
  <c r="A27" i="8"/>
  <c r="A22" i="8"/>
  <c r="S3" i="15"/>
  <c r="S2" i="15"/>
  <c r="Q3" i="15"/>
  <c r="Q2" i="15"/>
  <c r="A33" i="16"/>
  <c r="E25" i="89" s="1"/>
  <c r="A16" i="17"/>
  <c r="D33" i="81"/>
  <c r="E34" i="89"/>
  <c r="A36" i="22"/>
  <c r="D27" i="81"/>
  <c r="E17" i="89"/>
  <c r="A25" i="25"/>
  <c r="L24" i="81" s="1"/>
  <c r="L22" i="81"/>
  <c r="A23" i="9"/>
  <c r="C13" i="89" s="1"/>
  <c r="Q3" i="19"/>
  <c r="A22" i="26"/>
  <c r="C45" i="89" s="1"/>
  <c r="S3" i="5"/>
  <c r="Q2" i="5"/>
  <c r="S3" i="14"/>
  <c r="Q2" i="14"/>
  <c r="S3" i="19"/>
  <c r="F31" i="91"/>
  <c r="A31" i="91"/>
  <c r="A29" i="91"/>
  <c r="A27" i="91"/>
  <c r="F27" i="91"/>
  <c r="F26" i="91"/>
  <c r="A22" i="91"/>
  <c r="F22" i="91"/>
  <c r="F13" i="91"/>
  <c r="F7" i="91"/>
  <c r="F17" i="91"/>
  <c r="A17" i="91"/>
  <c r="A13" i="91"/>
  <c r="A11" i="91"/>
  <c r="A9" i="91"/>
  <c r="F9" i="91"/>
  <c r="A19" i="36"/>
  <c r="A14" i="67"/>
  <c r="D12" i="81"/>
  <c r="H12" i="81" s="1"/>
  <c r="A18" i="67"/>
  <c r="L12" i="81" s="1"/>
  <c r="D28" i="81"/>
  <c r="A15" i="14"/>
  <c r="D23" i="81" s="1"/>
  <c r="A29" i="26"/>
  <c r="G19" i="36"/>
  <c r="O19" i="36"/>
  <c r="F21" i="69"/>
  <c r="D42" i="89" s="1"/>
  <c r="C42" i="89"/>
  <c r="D41" i="89"/>
  <c r="A19" i="48"/>
  <c r="C41" i="89"/>
  <c r="A16" i="62"/>
  <c r="C38" i="89"/>
  <c r="A13" i="83"/>
  <c r="C36" i="89"/>
  <c r="F22" i="43"/>
  <c r="F31" i="89"/>
  <c r="D16" i="89"/>
  <c r="C16" i="89"/>
  <c r="A19" i="23"/>
  <c r="E18" i="89" s="1"/>
  <c r="A82" i="15"/>
  <c r="E26" i="89" s="1"/>
  <c r="G22" i="26"/>
  <c r="O22" i="26" s="1"/>
  <c r="A19" i="11"/>
  <c r="D38" i="81" s="1"/>
  <c r="D16" i="81"/>
  <c r="D28" i="89"/>
  <c r="A15" i="71"/>
  <c r="C46" i="89" s="1"/>
  <c r="D26" i="81"/>
  <c r="L21" i="81"/>
  <c r="F31" i="19"/>
  <c r="F11" i="89" s="1"/>
  <c r="D10" i="89"/>
  <c r="C43" i="89"/>
  <c r="F13" i="44"/>
  <c r="D39" i="89" s="1"/>
  <c r="F29" i="89"/>
  <c r="D29" i="89"/>
  <c r="A34" i="18"/>
  <c r="D29" i="81"/>
  <c r="G36" i="4"/>
  <c r="L20" i="81"/>
  <c r="D20" i="81"/>
  <c r="L23" i="81"/>
  <c r="N23" i="81"/>
  <c r="A54" i="20"/>
  <c r="E21" i="89" s="1"/>
  <c r="C21" i="89"/>
  <c r="D23" i="89"/>
  <c r="F24" i="89"/>
  <c r="G25" i="11"/>
  <c r="H25" i="11"/>
  <c r="A25" i="11"/>
  <c r="G22" i="43"/>
  <c r="H22" i="43"/>
  <c r="A22" i="43"/>
  <c r="E31" i="89"/>
  <c r="A18" i="43"/>
  <c r="D42" i="81"/>
  <c r="F16" i="62"/>
  <c r="D38" i="89" s="1"/>
  <c r="G13" i="83"/>
  <c r="O13" i="83" s="1"/>
  <c r="H13" i="83"/>
  <c r="D36" i="89"/>
  <c r="H20" i="80"/>
  <c r="H15" i="14"/>
  <c r="H21" i="14"/>
  <c r="H28" i="4"/>
  <c r="H27" i="22"/>
  <c r="H36" i="22" s="1"/>
  <c r="H19" i="71"/>
  <c r="H15" i="71"/>
  <c r="H20" i="71"/>
  <c r="H29" i="26"/>
  <c r="H22" i="26"/>
  <c r="H30" i="26"/>
  <c r="H13" i="87"/>
  <c r="H17" i="87"/>
  <c r="H18" i="87"/>
  <c r="H23" i="36"/>
  <c r="H19" i="36"/>
  <c r="H24" i="36"/>
  <c r="H25" i="69"/>
  <c r="H21" i="69"/>
  <c r="H26" i="69" s="1"/>
  <c r="H19" i="48"/>
  <c r="H23" i="48"/>
  <c r="H24" i="48"/>
  <c r="H17" i="70"/>
  <c r="H13" i="70"/>
  <c r="H18" i="70"/>
  <c r="H17" i="44"/>
  <c r="H13" i="44"/>
  <c r="H18" i="44"/>
  <c r="H20" i="62"/>
  <c r="H16" i="62"/>
  <c r="H21" i="62"/>
  <c r="H24" i="73"/>
  <c r="H19" i="73"/>
  <c r="H17" i="83"/>
  <c r="H18" i="47"/>
  <c r="H12" i="47"/>
  <c r="H19" i="47"/>
  <c r="H54" i="45"/>
  <c r="H44" i="45"/>
  <c r="H18" i="67"/>
  <c r="H14" i="67"/>
  <c r="H21" i="7"/>
  <c r="H17" i="7"/>
  <c r="H18" i="43"/>
  <c r="H37" i="42"/>
  <c r="H38" i="42" s="1"/>
  <c r="H25" i="42"/>
  <c r="H27" i="8"/>
  <c r="H22" i="8"/>
  <c r="H28" i="8"/>
  <c r="H19" i="11"/>
  <c r="H17" i="88"/>
  <c r="H13" i="88"/>
  <c r="H18" i="88"/>
  <c r="H82" i="15"/>
  <c r="H38" i="15"/>
  <c r="H33" i="16"/>
  <c r="H34" i="16" s="1"/>
  <c r="H22" i="16"/>
  <c r="H22" i="17"/>
  <c r="H16" i="17"/>
  <c r="H23" i="17" s="1"/>
  <c r="H43" i="35"/>
  <c r="H28" i="35"/>
  <c r="H12" i="77"/>
  <c r="H15" i="77"/>
  <c r="H16" i="77"/>
  <c r="H54" i="20"/>
  <c r="H27" i="20"/>
  <c r="H25" i="21"/>
  <c r="H19" i="21"/>
  <c r="H35" i="22"/>
  <c r="H19" i="23"/>
  <c r="H15" i="23"/>
  <c r="H20" i="23" s="1"/>
  <c r="H33" i="24"/>
  <c r="H17" i="24"/>
  <c r="H34" i="24" s="1"/>
  <c r="H36" i="4"/>
  <c r="H37" i="4" s="1"/>
  <c r="H25" i="25"/>
  <c r="H21" i="25"/>
  <c r="H29" i="9"/>
  <c r="H23" i="9"/>
  <c r="H22" i="5"/>
  <c r="H23" i="5" s="1"/>
  <c r="H18" i="5"/>
  <c r="H15" i="80"/>
  <c r="H21" i="80" s="1"/>
  <c r="E20" i="89"/>
  <c r="F27" i="81"/>
  <c r="N27" i="81"/>
  <c r="C15" i="89"/>
  <c r="G22" i="16"/>
  <c r="G34" i="16" s="1"/>
  <c r="A22" i="16"/>
  <c r="A34" i="16" s="1"/>
  <c r="O33" i="42"/>
  <c r="O40" i="20"/>
  <c r="O16" i="20"/>
  <c r="F13" i="70"/>
  <c r="D40" i="89"/>
  <c r="D31" i="89"/>
  <c r="D30" i="89"/>
  <c r="F13" i="88"/>
  <c r="D27" i="89"/>
  <c r="F22" i="16"/>
  <c r="D25" i="89" s="1"/>
  <c r="A13" i="88"/>
  <c r="C27" i="89"/>
  <c r="F18" i="89"/>
  <c r="C39" i="89"/>
  <c r="F13" i="87"/>
  <c r="D44" i="89"/>
  <c r="A15" i="77"/>
  <c r="G38" i="18"/>
  <c r="A12" i="77"/>
  <c r="A16" i="77"/>
  <c r="A13" i="87"/>
  <c r="A18" i="83"/>
  <c r="G18" i="43"/>
  <c r="D37" i="81"/>
  <c r="F37" i="81"/>
  <c r="H37" i="81"/>
  <c r="G16" i="17"/>
  <c r="F15" i="77"/>
  <c r="F12" i="77"/>
  <c r="F16" i="77"/>
  <c r="E45" i="89"/>
  <c r="G13" i="88"/>
  <c r="G15" i="71"/>
  <c r="A23" i="48"/>
  <c r="A17" i="70"/>
  <c r="A13" i="70"/>
  <c r="D25" i="81"/>
  <c r="F25" i="81"/>
  <c r="V25" i="81" s="1"/>
  <c r="L25" i="81"/>
  <c r="P25" i="81" s="1"/>
  <c r="N25" i="81"/>
  <c r="A43" i="35"/>
  <c r="L33" i="81" s="1"/>
  <c r="T33" i="81" s="1"/>
  <c r="C22" i="82" s="1"/>
  <c r="A24" i="73"/>
  <c r="E37" i="89" s="1"/>
  <c r="G19" i="73"/>
  <c r="G21" i="25"/>
  <c r="G44" i="45"/>
  <c r="G17" i="44"/>
  <c r="A21" i="62"/>
  <c r="G16" i="62"/>
  <c r="G12" i="47"/>
  <c r="G18" i="67"/>
  <c r="N12" i="81"/>
  <c r="G14" i="67"/>
  <c r="G19" i="67" s="1"/>
  <c r="G25" i="25"/>
  <c r="A21" i="7"/>
  <c r="E32" i="89" s="1"/>
  <c r="G15" i="14"/>
  <c r="G25" i="21"/>
  <c r="G24" i="73"/>
  <c r="G15" i="23"/>
  <c r="G19" i="23"/>
  <c r="J15" i="23"/>
  <c r="E27" i="81" s="1"/>
  <c r="K15" i="23"/>
  <c r="I27" i="81" s="1"/>
  <c r="L15" i="23"/>
  <c r="A22" i="17"/>
  <c r="A23" i="17" s="1"/>
  <c r="G33" i="24"/>
  <c r="A24" i="36"/>
  <c r="G19" i="48"/>
  <c r="O19" i="48"/>
  <c r="C6" i="81"/>
  <c r="A11" i="82"/>
  <c r="A12" i="82"/>
  <c r="A13" i="82"/>
  <c r="A14" i="82"/>
  <c r="A15" i="82"/>
  <c r="A16" i="82"/>
  <c r="A17" i="82"/>
  <c r="A18" i="82"/>
  <c r="A19" i="82"/>
  <c r="A20" i="82"/>
  <c r="A21" i="82"/>
  <c r="A22" i="82"/>
  <c r="A23" i="82"/>
  <c r="A24" i="82"/>
  <c r="A25" i="82"/>
  <c r="A26" i="82"/>
  <c r="A27" i="82"/>
  <c r="A28" i="82"/>
  <c r="A29" i="82"/>
  <c r="A30" i="82"/>
  <c r="A31" i="82"/>
  <c r="A32" i="82"/>
  <c r="A33" i="82"/>
  <c r="A34" i="82"/>
  <c r="A35" i="82"/>
  <c r="A36" i="82"/>
  <c r="A37" i="82"/>
  <c r="A38" i="82"/>
  <c r="A39" i="82"/>
  <c r="A40" i="82"/>
  <c r="A41" i="82"/>
  <c r="A42" i="82"/>
  <c r="A43" i="82"/>
  <c r="A44" i="82"/>
  <c r="A26" i="69"/>
  <c r="G21" i="7"/>
  <c r="J21" i="7"/>
  <c r="M42" i="81" s="1"/>
  <c r="K21" i="7"/>
  <c r="Q42" i="81" s="1"/>
  <c r="G118" i="85" s="1"/>
  <c r="K17" i="7"/>
  <c r="I42" i="81" s="1"/>
  <c r="L21" i="7"/>
  <c r="G17" i="7"/>
  <c r="G22" i="7" s="1"/>
  <c r="J17" i="7"/>
  <c r="L17" i="7"/>
  <c r="J22" i="43"/>
  <c r="M41" i="81"/>
  <c r="G121" i="85"/>
  <c r="K22" i="43"/>
  <c r="Q41" i="81"/>
  <c r="G123" i="85"/>
  <c r="L22" i="43"/>
  <c r="J18" i="43"/>
  <c r="E41" i="81"/>
  <c r="K18" i="43"/>
  <c r="I41" i="81"/>
  <c r="Y41" i="81"/>
  <c r="L18" i="43"/>
  <c r="G37" i="42"/>
  <c r="J37" i="42"/>
  <c r="M40" i="81" s="1"/>
  <c r="K37" i="42"/>
  <c r="Q40" i="81" s="1"/>
  <c r="G113" i="85" s="1"/>
  <c r="L37" i="42"/>
  <c r="G25" i="42"/>
  <c r="G38" i="42" s="1"/>
  <c r="J25" i="42"/>
  <c r="K25" i="42"/>
  <c r="I40" i="81" s="1"/>
  <c r="L25" i="42"/>
  <c r="L38" i="42" s="1"/>
  <c r="G27" i="8"/>
  <c r="J27" i="8"/>
  <c r="M39" i="81"/>
  <c r="G106" i="85"/>
  <c r="K27" i="8"/>
  <c r="Q39" i="81"/>
  <c r="G108" i="85"/>
  <c r="L27" i="8"/>
  <c r="G22" i="8"/>
  <c r="G28" i="8"/>
  <c r="J22" i="8"/>
  <c r="E39" i="81"/>
  <c r="E106" i="85"/>
  <c r="K22" i="8"/>
  <c r="I39" i="81"/>
  <c r="L22" i="8"/>
  <c r="L28" i="8"/>
  <c r="J25" i="11"/>
  <c r="M38" i="81"/>
  <c r="K25" i="11"/>
  <c r="Q38" i="81" s="1"/>
  <c r="G103" i="85" s="1"/>
  <c r="K19" i="11"/>
  <c r="I38" i="81" s="1"/>
  <c r="E103" i="85" s="1"/>
  <c r="C103" i="85" s="1"/>
  <c r="L25" i="11"/>
  <c r="L19" i="11"/>
  <c r="L26" i="11" s="1"/>
  <c r="G19" i="11"/>
  <c r="G26" i="11" s="1"/>
  <c r="J19" i="11"/>
  <c r="E38" i="81" s="1"/>
  <c r="G82" i="15"/>
  <c r="J82" i="15"/>
  <c r="M36" i="81" s="1"/>
  <c r="G86" i="85" s="1"/>
  <c r="K82" i="15"/>
  <c r="Q36" i="81" s="1"/>
  <c r="G88" i="85" s="1"/>
  <c r="L82" i="15"/>
  <c r="G38" i="15"/>
  <c r="J38" i="15"/>
  <c r="K38" i="15"/>
  <c r="I36" i="81" s="1"/>
  <c r="L38" i="15"/>
  <c r="G33" i="16"/>
  <c r="J33" i="16"/>
  <c r="M35" i="81"/>
  <c r="G81" i="85" s="1"/>
  <c r="K33" i="16"/>
  <c r="K22" i="16"/>
  <c r="K34" i="16" s="1"/>
  <c r="L33" i="16"/>
  <c r="J22" i="16"/>
  <c r="E35" i="81"/>
  <c r="E81" i="85"/>
  <c r="L22" i="16"/>
  <c r="L34" i="16" s="1"/>
  <c r="G28" i="35"/>
  <c r="J54" i="35"/>
  <c r="E33" i="81" s="1"/>
  <c r="E71" i="85" s="1"/>
  <c r="K54" i="35"/>
  <c r="I33" i="81" s="1"/>
  <c r="L54" i="35"/>
  <c r="G34" i="18"/>
  <c r="G39" i="18" s="1"/>
  <c r="J34" i="18"/>
  <c r="E31" i="81" s="1"/>
  <c r="E61" i="85" s="1"/>
  <c r="K34" i="18"/>
  <c r="I31" i="81"/>
  <c r="E63" i="85" s="1"/>
  <c r="K38" i="18"/>
  <c r="Q31" i="81" s="1"/>
  <c r="G63" i="85" s="1"/>
  <c r="L34" i="18"/>
  <c r="J38" i="18"/>
  <c r="M31" i="81"/>
  <c r="G61" i="85" s="1"/>
  <c r="L38" i="18"/>
  <c r="L39" i="18" s="1"/>
  <c r="J21" i="25"/>
  <c r="J26" i="25" s="1"/>
  <c r="K21" i="25"/>
  <c r="I24" i="81" s="1"/>
  <c r="E28" i="85" s="1"/>
  <c r="L21" i="25"/>
  <c r="A20" i="71"/>
  <c r="R42" i="81"/>
  <c r="N42" i="81"/>
  <c r="J42" i="81"/>
  <c r="F42" i="81"/>
  <c r="R41" i="81"/>
  <c r="N41" i="81"/>
  <c r="F41" i="81"/>
  <c r="V41" i="81"/>
  <c r="J41" i="81"/>
  <c r="R40" i="81"/>
  <c r="Z40" i="81" s="1"/>
  <c r="N40" i="81"/>
  <c r="J40" i="81"/>
  <c r="F40" i="81"/>
  <c r="R39" i="81"/>
  <c r="N39" i="81"/>
  <c r="J39" i="81"/>
  <c r="Z39" i="81"/>
  <c r="F39" i="81"/>
  <c r="R38" i="81"/>
  <c r="N38" i="81"/>
  <c r="J38" i="81"/>
  <c r="F38" i="81"/>
  <c r="R37" i="81"/>
  <c r="N37" i="81"/>
  <c r="L37" i="81"/>
  <c r="P37" i="81"/>
  <c r="J37" i="81"/>
  <c r="R36" i="81"/>
  <c r="J36" i="81"/>
  <c r="N36" i="81"/>
  <c r="F36" i="81"/>
  <c r="R35" i="81"/>
  <c r="Z35" i="81" s="1"/>
  <c r="J35" i="81"/>
  <c r="N35" i="81"/>
  <c r="F35" i="81"/>
  <c r="R34" i="81"/>
  <c r="N34" i="81"/>
  <c r="L34" i="81"/>
  <c r="P34" i="81" s="1"/>
  <c r="J34" i="81"/>
  <c r="Z34" i="81"/>
  <c r="F34" i="81"/>
  <c r="R33" i="81"/>
  <c r="Z33" i="81" s="1"/>
  <c r="N33" i="81"/>
  <c r="J33" i="81"/>
  <c r="F33" i="81"/>
  <c r="R32" i="81"/>
  <c r="N32" i="81"/>
  <c r="L32" i="81"/>
  <c r="P32" i="81"/>
  <c r="J32" i="81"/>
  <c r="Z32" i="81"/>
  <c r="F32" i="81"/>
  <c r="V32" i="81"/>
  <c r="R31" i="81"/>
  <c r="N31" i="81"/>
  <c r="V31" i="81" s="1"/>
  <c r="L31" i="81"/>
  <c r="F31" i="81"/>
  <c r="J31" i="81"/>
  <c r="R30" i="81"/>
  <c r="N30" i="81"/>
  <c r="F30" i="81"/>
  <c r="J30" i="81"/>
  <c r="R29" i="81"/>
  <c r="N29" i="81"/>
  <c r="F29" i="81"/>
  <c r="J29" i="81"/>
  <c r="N28" i="81"/>
  <c r="F28" i="81"/>
  <c r="R28" i="81"/>
  <c r="J28" i="81"/>
  <c r="R27" i="81"/>
  <c r="J27" i="81"/>
  <c r="R26" i="81"/>
  <c r="N26" i="81"/>
  <c r="J26" i="81"/>
  <c r="F26" i="81"/>
  <c r="V26" i="81" s="1"/>
  <c r="R25" i="81"/>
  <c r="J25" i="81"/>
  <c r="R24" i="81"/>
  <c r="N24" i="81"/>
  <c r="J24" i="81"/>
  <c r="F24" i="81"/>
  <c r="R23" i="81"/>
  <c r="J23" i="81"/>
  <c r="F23" i="81"/>
  <c r="R22" i="81"/>
  <c r="J22" i="81"/>
  <c r="Z22" i="81" s="1"/>
  <c r="N22" i="81"/>
  <c r="F22" i="81"/>
  <c r="R21" i="81"/>
  <c r="N21" i="81"/>
  <c r="F21" i="81"/>
  <c r="J21" i="81"/>
  <c r="R20" i="81"/>
  <c r="N20" i="81"/>
  <c r="J20" i="81"/>
  <c r="F20" i="81"/>
  <c r="R19" i="81"/>
  <c r="N19" i="81"/>
  <c r="L19" i="81"/>
  <c r="P19" i="81"/>
  <c r="J19" i="81"/>
  <c r="Z19" i="81"/>
  <c r="F19" i="81"/>
  <c r="V19" i="81"/>
  <c r="R18" i="81"/>
  <c r="Z18" i="81" s="1"/>
  <c r="N18" i="81"/>
  <c r="J18" i="81"/>
  <c r="F18" i="81"/>
  <c r="V18" i="81" s="1"/>
  <c r="D18" i="81"/>
  <c r="H18" i="81" s="1"/>
  <c r="R17" i="81"/>
  <c r="N17" i="81"/>
  <c r="L17" i="81"/>
  <c r="J17" i="81"/>
  <c r="Z17" i="81"/>
  <c r="F17" i="81"/>
  <c r="V17" i="81"/>
  <c r="R16" i="81"/>
  <c r="N16" i="81"/>
  <c r="J16" i="81"/>
  <c r="F16" i="81"/>
  <c r="V16" i="81" s="1"/>
  <c r="R15" i="81"/>
  <c r="Z15" i="81" s="1"/>
  <c r="N15" i="81"/>
  <c r="L15" i="81"/>
  <c r="D15" i="81"/>
  <c r="T15" i="81"/>
  <c r="C44" i="82" s="1"/>
  <c r="J15" i="81"/>
  <c r="F15" i="81"/>
  <c r="R14" i="81"/>
  <c r="N14" i="81"/>
  <c r="V14" i="81" s="1"/>
  <c r="F14" i="81"/>
  <c r="J14" i="81"/>
  <c r="R13" i="81"/>
  <c r="N13" i="81"/>
  <c r="J13" i="81"/>
  <c r="F13" i="81"/>
  <c r="R12" i="81"/>
  <c r="J12" i="81"/>
  <c r="F12" i="81"/>
  <c r="R11" i="81"/>
  <c r="N11" i="81"/>
  <c r="F11" i="81"/>
  <c r="V11" i="81"/>
  <c r="L11" i="81"/>
  <c r="J11" i="81"/>
  <c r="Z11" i="81"/>
  <c r="R10" i="81"/>
  <c r="N10" i="81"/>
  <c r="J10" i="81"/>
  <c r="Z10" i="81" s="1"/>
  <c r="F10" i="81"/>
  <c r="V10" i="81"/>
  <c r="R9" i="81"/>
  <c r="N9" i="81"/>
  <c r="L9" i="81"/>
  <c r="P9" i="81"/>
  <c r="J9" i="81"/>
  <c r="F9" i="81"/>
  <c r="D9" i="81"/>
  <c r="H9" i="81"/>
  <c r="R8" i="81"/>
  <c r="N8" i="81"/>
  <c r="L8" i="81"/>
  <c r="P8" i="81"/>
  <c r="J8" i="81"/>
  <c r="Z8" i="81"/>
  <c r="F8" i="81"/>
  <c r="R7" i="81"/>
  <c r="Z7" i="81" s="1"/>
  <c r="J7" i="81"/>
  <c r="N7" i="81"/>
  <c r="J25" i="69"/>
  <c r="M7" i="81" s="1"/>
  <c r="G166" i="85" s="1"/>
  <c r="L7" i="81"/>
  <c r="P7" i="81"/>
  <c r="F7" i="81"/>
  <c r="V7" i="81"/>
  <c r="D7" i="81"/>
  <c r="T7" i="81" s="1"/>
  <c r="C41" i="82" s="1"/>
  <c r="R6" i="81"/>
  <c r="N6" i="81"/>
  <c r="L6" i="81"/>
  <c r="J6" i="81"/>
  <c r="Z6" i="81"/>
  <c r="F6" i="81"/>
  <c r="V6" i="81"/>
  <c r="R5" i="81"/>
  <c r="N5" i="81"/>
  <c r="J5" i="81"/>
  <c r="Z5" i="81" s="1"/>
  <c r="F5" i="81"/>
  <c r="L17" i="88"/>
  <c r="K17" i="88"/>
  <c r="Q37" i="81"/>
  <c r="J17" i="88"/>
  <c r="M37" i="81"/>
  <c r="G17" i="88"/>
  <c r="G18" i="88"/>
  <c r="F17" i="88"/>
  <c r="L13" i="88"/>
  <c r="L18" i="88"/>
  <c r="K13" i="88"/>
  <c r="I37" i="81"/>
  <c r="J13" i="88"/>
  <c r="J18" i="88"/>
  <c r="L17" i="87"/>
  <c r="L13" i="87"/>
  <c r="L18" i="87"/>
  <c r="K17" i="87"/>
  <c r="Q9" i="81"/>
  <c r="J17" i="87"/>
  <c r="M9" i="81"/>
  <c r="G17" i="87"/>
  <c r="F17" i="87"/>
  <c r="F18" i="87"/>
  <c r="K13" i="87"/>
  <c r="J13" i="87"/>
  <c r="E9" i="81"/>
  <c r="G13" i="87"/>
  <c r="G18" i="87"/>
  <c r="L17" i="83"/>
  <c r="K17" i="83"/>
  <c r="Q15" i="81" s="1"/>
  <c r="K13" i="83"/>
  <c r="I15" i="81"/>
  <c r="E178" i="85" s="1"/>
  <c r="J17" i="83"/>
  <c r="M15" i="81"/>
  <c r="G176" i="85" s="1"/>
  <c r="G175" i="85" s="1"/>
  <c r="G17" i="83"/>
  <c r="F17" i="83"/>
  <c r="O17" i="83"/>
  <c r="K15" i="81" s="1"/>
  <c r="O15" i="81" s="1"/>
  <c r="G177" i="85" s="1"/>
  <c r="L13" i="83"/>
  <c r="J13" i="83"/>
  <c r="E15" i="81"/>
  <c r="E176" i="85" s="1"/>
  <c r="L15" i="77"/>
  <c r="K15" i="77"/>
  <c r="Q32" i="81"/>
  <c r="G68" i="85"/>
  <c r="J15" i="77"/>
  <c r="M32" i="81"/>
  <c r="G66" i="85"/>
  <c r="G15" i="77"/>
  <c r="M15" i="77"/>
  <c r="K32" i="81"/>
  <c r="L12" i="77"/>
  <c r="K12" i="77"/>
  <c r="K16" i="77"/>
  <c r="J12" i="77"/>
  <c r="E32" i="81"/>
  <c r="E66" i="85"/>
  <c r="G12" i="77"/>
  <c r="G16" i="77"/>
  <c r="L23" i="36"/>
  <c r="L19" i="36"/>
  <c r="L24" i="36"/>
  <c r="K23" i="36"/>
  <c r="Q8" i="81"/>
  <c r="G173" i="85"/>
  <c r="J23" i="36"/>
  <c r="M8" i="81"/>
  <c r="G171" i="85"/>
  <c r="G23" i="36"/>
  <c r="F23" i="36"/>
  <c r="O23" i="36"/>
  <c r="K8" i="81"/>
  <c r="O8" i="81"/>
  <c r="G172" i="85"/>
  <c r="G170" i="85"/>
  <c r="K19" i="36"/>
  <c r="J19" i="36"/>
  <c r="E8" i="81"/>
  <c r="E171" i="85"/>
  <c r="L25" i="69"/>
  <c r="K25" i="69"/>
  <c r="Q7" i="81" s="1"/>
  <c r="K20" i="80"/>
  <c r="Q5" i="81" s="1"/>
  <c r="K23" i="48"/>
  <c r="Q6" i="81"/>
  <c r="K29" i="26"/>
  <c r="Q10" i="81"/>
  <c r="K19" i="71"/>
  <c r="Q11" i="81"/>
  <c r="K18" i="67"/>
  <c r="Q12" i="81" s="1"/>
  <c r="Q13" i="81"/>
  <c r="K18" i="47"/>
  <c r="Q14" i="81" s="1"/>
  <c r="G143" i="85" s="1"/>
  <c r="K24" i="73"/>
  <c r="Q16" i="81" s="1"/>
  <c r="K20" i="62"/>
  <c r="Q17" i="81"/>
  <c r="K17" i="44"/>
  <c r="Q18" i="81" s="1"/>
  <c r="G98" i="85" s="1"/>
  <c r="K17" i="70"/>
  <c r="Q19" i="81"/>
  <c r="K29" i="9"/>
  <c r="Q22" i="81" s="1"/>
  <c r="G18" i="85" s="1"/>
  <c r="K21" i="14"/>
  <c r="Q23" i="81" s="1"/>
  <c r="G23" i="85" s="1"/>
  <c r="K25" i="25"/>
  <c r="Q24" i="81" s="1"/>
  <c r="G28" i="85" s="1"/>
  <c r="K36" i="4"/>
  <c r="Q25" i="81" s="1"/>
  <c r="G33" i="85" s="1"/>
  <c r="K33" i="24"/>
  <c r="Q26" i="81" s="1"/>
  <c r="G38" i="85" s="1"/>
  <c r="K19" i="23"/>
  <c r="Q27" i="81" s="1"/>
  <c r="G43" i="85" s="1"/>
  <c r="K35" i="22"/>
  <c r="Q28" i="81" s="1"/>
  <c r="K25" i="21"/>
  <c r="Q29" i="81" s="1"/>
  <c r="G53" i="85" s="1"/>
  <c r="K54" i="20"/>
  <c r="Q30" i="81" s="1"/>
  <c r="G58" i="85" s="1"/>
  <c r="K58" i="35"/>
  <c r="Q33" i="81" s="1"/>
  <c r="G73" i="85" s="1"/>
  <c r="K22" i="17"/>
  <c r="Q34" i="81"/>
  <c r="G78" i="85" s="1"/>
  <c r="Q35" i="81"/>
  <c r="G25" i="69"/>
  <c r="G21" i="69"/>
  <c r="G26" i="69"/>
  <c r="F25" i="69"/>
  <c r="F26" i="69" s="1"/>
  <c r="O25" i="69"/>
  <c r="K7" i="81"/>
  <c r="L21" i="69"/>
  <c r="L26" i="69" s="1"/>
  <c r="K21" i="69"/>
  <c r="K26" i="69"/>
  <c r="J21" i="69"/>
  <c r="E7" i="81" s="1"/>
  <c r="L29" i="26"/>
  <c r="G163" i="85"/>
  <c r="J29" i="26"/>
  <c r="M10" i="81"/>
  <c r="G29" i="26"/>
  <c r="O29" i="26"/>
  <c r="K10" i="81" s="1"/>
  <c r="O10" i="81" s="1"/>
  <c r="G162" i="85" s="1"/>
  <c r="L22" i="26"/>
  <c r="L30" i="26" s="1"/>
  <c r="K22" i="26"/>
  <c r="I10" i="81" s="1"/>
  <c r="J22" i="26"/>
  <c r="E10" i="81" s="1"/>
  <c r="G30" i="26"/>
  <c r="L19" i="71"/>
  <c r="L15" i="71"/>
  <c r="L20" i="71"/>
  <c r="J19" i="71"/>
  <c r="M11" i="81"/>
  <c r="G156" i="85"/>
  <c r="F19" i="71"/>
  <c r="G19" i="71"/>
  <c r="O19" i="71"/>
  <c r="K11" i="81"/>
  <c r="O11" i="81"/>
  <c r="G157" i="85"/>
  <c r="G155" i="85"/>
  <c r="K15" i="71"/>
  <c r="I11" i="81"/>
  <c r="E158" i="85"/>
  <c r="G158" i="85"/>
  <c r="C158" i="85"/>
  <c r="J15" i="71"/>
  <c r="G20" i="71"/>
  <c r="L18" i="67"/>
  <c r="J18" i="67"/>
  <c r="M12" i="81" s="1"/>
  <c r="F18" i="67"/>
  <c r="O18" i="67" s="1"/>
  <c r="K12" i="81" s="1"/>
  <c r="L14" i="67"/>
  <c r="L19" i="67" s="1"/>
  <c r="K14" i="67"/>
  <c r="I12" i="81" s="1"/>
  <c r="J14" i="67"/>
  <c r="E12" i="81" s="1"/>
  <c r="L23" i="48"/>
  <c r="L19" i="48"/>
  <c r="L24" i="48"/>
  <c r="K19" i="48"/>
  <c r="K24" i="48"/>
  <c r="J23" i="48"/>
  <c r="M6" i="81"/>
  <c r="G146" i="85"/>
  <c r="G23" i="48"/>
  <c r="G24" i="48"/>
  <c r="F23" i="48"/>
  <c r="O23" i="48"/>
  <c r="J19" i="48"/>
  <c r="E6" i="81"/>
  <c r="L18" i="47"/>
  <c r="J18" i="47"/>
  <c r="M14" i="81"/>
  <c r="G18" i="47"/>
  <c r="L12" i="47"/>
  <c r="L19" i="47" s="1"/>
  <c r="K12" i="47"/>
  <c r="I14" i="81" s="1"/>
  <c r="J12" i="47"/>
  <c r="E14" i="81" s="1"/>
  <c r="L17" i="70"/>
  <c r="L13" i="70"/>
  <c r="L18" i="70"/>
  <c r="K13" i="70"/>
  <c r="K18" i="70"/>
  <c r="J17" i="70"/>
  <c r="M19" i="81"/>
  <c r="G136" i="85"/>
  <c r="G17" i="70"/>
  <c r="G13" i="70"/>
  <c r="G18" i="70"/>
  <c r="F17" i="70"/>
  <c r="N17" i="70"/>
  <c r="K19" i="81"/>
  <c r="O19" i="81"/>
  <c r="G137" i="85"/>
  <c r="F18" i="70"/>
  <c r="I19" i="81"/>
  <c r="J13" i="70"/>
  <c r="E19" i="81"/>
  <c r="U19" i="81"/>
  <c r="L20" i="62"/>
  <c r="L16" i="62"/>
  <c r="L21" i="62"/>
  <c r="K16" i="62"/>
  <c r="K21" i="62"/>
  <c r="J20" i="62"/>
  <c r="M17" i="81"/>
  <c r="G131" i="85"/>
  <c r="F20" i="62"/>
  <c r="G20" i="62"/>
  <c r="O20" i="62"/>
  <c r="K17" i="81"/>
  <c r="O17" i="81"/>
  <c r="G132" i="85"/>
  <c r="G130" i="85"/>
  <c r="G21" i="62"/>
  <c r="F21" i="62"/>
  <c r="I17" i="81"/>
  <c r="E133" i="85"/>
  <c r="G133" i="85"/>
  <c r="C133" i="85"/>
  <c r="J16" i="62"/>
  <c r="E17" i="81"/>
  <c r="E131" i="85"/>
  <c r="M13" i="81"/>
  <c r="G126" i="85" s="1"/>
  <c r="K13" i="81"/>
  <c r="L44" i="45"/>
  <c r="L53" i="45" s="1"/>
  <c r="K44" i="45"/>
  <c r="K53" i="45" s="1"/>
  <c r="J44" i="45"/>
  <c r="J53" i="45" s="1"/>
  <c r="L17" i="44"/>
  <c r="K13" i="44"/>
  <c r="I18" i="81" s="1"/>
  <c r="J17" i="44"/>
  <c r="M18" i="81" s="1"/>
  <c r="J13" i="44"/>
  <c r="E18" i="81"/>
  <c r="F17" i="44"/>
  <c r="O17" i="44"/>
  <c r="K18" i="81"/>
  <c r="G13" i="44"/>
  <c r="L13" i="44"/>
  <c r="L24" i="73"/>
  <c r="L19" i="73"/>
  <c r="L25" i="73" s="1"/>
  <c r="J24" i="73"/>
  <c r="M16" i="81" s="1"/>
  <c r="G91" i="85" s="1"/>
  <c r="K19" i="73"/>
  <c r="I16" i="81" s="1"/>
  <c r="E93" i="85" s="1"/>
  <c r="J19" i="73"/>
  <c r="E16" i="81" s="1"/>
  <c r="E91" i="85" s="1"/>
  <c r="L22" i="17"/>
  <c r="L16" i="17"/>
  <c r="J22" i="17"/>
  <c r="M34" i="81" s="1"/>
  <c r="G76" i="85" s="1"/>
  <c r="J16" i="17"/>
  <c r="E34" i="81" s="1"/>
  <c r="J23" i="17"/>
  <c r="G22" i="17"/>
  <c r="K16" i="17"/>
  <c r="I34" i="81" s="1"/>
  <c r="L58" i="35"/>
  <c r="J58" i="35"/>
  <c r="M33" i="81" s="1"/>
  <c r="G71" i="85" s="1"/>
  <c r="G43" i="35"/>
  <c r="F43" i="35"/>
  <c r="O58" i="35" s="1"/>
  <c r="K33" i="81" s="1"/>
  <c r="O33" i="81" s="1"/>
  <c r="G72" i="85" s="1"/>
  <c r="L54" i="20"/>
  <c r="L27" i="20"/>
  <c r="K27" i="20"/>
  <c r="I30" i="81" s="1"/>
  <c r="J54" i="20"/>
  <c r="M30" i="81" s="1"/>
  <c r="G56" i="85" s="1"/>
  <c r="G54" i="20"/>
  <c r="J27" i="20"/>
  <c r="G27" i="20"/>
  <c r="L25" i="21"/>
  <c r="L19" i="21"/>
  <c r="K19" i="21"/>
  <c r="I29" i="81" s="1"/>
  <c r="J25" i="21"/>
  <c r="M29" i="81" s="1"/>
  <c r="J19" i="21"/>
  <c r="G19" i="21"/>
  <c r="L35" i="22"/>
  <c r="K27" i="22"/>
  <c r="K36" i="22" s="1"/>
  <c r="J35" i="22"/>
  <c r="M28" i="81" s="1"/>
  <c r="G46" i="85" s="1"/>
  <c r="G35" i="22"/>
  <c r="O35" i="22"/>
  <c r="K28" i="81"/>
  <c r="G27" i="22"/>
  <c r="O27" i="22" s="1"/>
  <c r="L27" i="22"/>
  <c r="L36" i="22"/>
  <c r="J27" i="22"/>
  <c r="E28" i="81" s="1"/>
  <c r="G36" i="22"/>
  <c r="L19" i="23"/>
  <c r="J19" i="23"/>
  <c r="M27" i="81"/>
  <c r="G41" i="85" s="1"/>
  <c r="J20" i="23"/>
  <c r="L33" i="24"/>
  <c r="J33" i="24"/>
  <c r="M26" i="81" s="1"/>
  <c r="G36" i="85" s="1"/>
  <c r="L17" i="24"/>
  <c r="L34" i="24" s="1"/>
  <c r="K17" i="24"/>
  <c r="J17" i="24"/>
  <c r="E26" i="81"/>
  <c r="E36" i="85" s="1"/>
  <c r="G17" i="24"/>
  <c r="L36" i="4"/>
  <c r="J36" i="4"/>
  <c r="M25" i="81" s="1"/>
  <c r="G31" i="85" s="1"/>
  <c r="L28" i="4"/>
  <c r="K28" i="4"/>
  <c r="I25" i="81" s="1"/>
  <c r="J28" i="4"/>
  <c r="E25" i="81" s="1"/>
  <c r="E31" i="85" s="1"/>
  <c r="G28" i="4"/>
  <c r="L25" i="25"/>
  <c r="L26" i="25" s="1"/>
  <c r="M24" i="81"/>
  <c r="G26" i="85" s="1"/>
  <c r="L21" i="14"/>
  <c r="J21" i="14"/>
  <c r="M23" i="81" s="1"/>
  <c r="G21" i="85" s="1"/>
  <c r="L15" i="14"/>
  <c r="K15" i="14"/>
  <c r="I23" i="81" s="1"/>
  <c r="E23" i="85" s="1"/>
  <c r="J15" i="14"/>
  <c r="L29" i="9"/>
  <c r="J29" i="9"/>
  <c r="M22" i="81" s="1"/>
  <c r="G16" i="85" s="1"/>
  <c r="G29" i="9"/>
  <c r="O29" i="9" s="1"/>
  <c r="K22" i="81" s="1"/>
  <c r="L23" i="9"/>
  <c r="K23" i="9"/>
  <c r="I22" i="81" s="1"/>
  <c r="J23" i="9"/>
  <c r="E22" i="81" s="1"/>
  <c r="G23" i="9"/>
  <c r="G22" i="5"/>
  <c r="L18" i="5"/>
  <c r="K18" i="5"/>
  <c r="I21" i="81" s="1"/>
  <c r="E13" i="85" s="1"/>
  <c r="J18" i="5"/>
  <c r="G18" i="5"/>
  <c r="G23" i="5" s="1"/>
  <c r="G31" i="19"/>
  <c r="G32" i="19" s="1"/>
  <c r="G27" i="19"/>
  <c r="G20" i="80"/>
  <c r="K5" i="81" s="1"/>
  <c r="J20" i="80"/>
  <c r="M5" i="81" s="1"/>
  <c r="L20" i="80"/>
  <c r="G15" i="80"/>
  <c r="J15" i="80"/>
  <c r="E5" i="81" s="1"/>
  <c r="K15" i="80"/>
  <c r="I5" i="81" s="1"/>
  <c r="L15" i="80"/>
  <c r="L21" i="80" s="1"/>
  <c r="D163" i="85"/>
  <c r="F126" i="85"/>
  <c r="F127" i="85"/>
  <c r="H127" i="85"/>
  <c r="D127" i="85"/>
  <c r="D142" i="85"/>
  <c r="D112" i="85"/>
  <c r="D108" i="85"/>
  <c r="D67" i="85"/>
  <c r="D62" i="85"/>
  <c r="D57" i="85"/>
  <c r="D52" i="85"/>
  <c r="D27" i="85"/>
  <c r="D12" i="85"/>
  <c r="D173" i="85"/>
  <c r="D168" i="85"/>
  <c r="D161" i="85"/>
  <c r="D153" i="85"/>
  <c r="H145" i="85"/>
  <c r="D148" i="85"/>
  <c r="D138" i="85"/>
  <c r="D132" i="85"/>
  <c r="D131" i="85"/>
  <c r="D111" i="85"/>
  <c r="D78" i="85"/>
  <c r="D73" i="85"/>
  <c r="D33" i="85"/>
  <c r="F20" i="85"/>
  <c r="H177" i="85"/>
  <c r="H162" i="85"/>
  <c r="H160" i="85"/>
  <c r="F160" i="85"/>
  <c r="D160" i="85"/>
  <c r="H125" i="85"/>
  <c r="H92" i="85"/>
  <c r="H90" i="85"/>
  <c r="J8" i="85"/>
  <c r="I8" i="85"/>
  <c r="I7" i="85"/>
  <c r="J6" i="85"/>
  <c r="D136" i="85"/>
  <c r="D43" i="85"/>
  <c r="H15" i="85"/>
  <c r="H5" i="85"/>
  <c r="D178" i="85"/>
  <c r="D177" i="85"/>
  <c r="D176" i="85"/>
  <c r="H175" i="85"/>
  <c r="F175" i="85"/>
  <c r="D175" i="85"/>
  <c r="D68" i="85"/>
  <c r="H65" i="85"/>
  <c r="D66" i="85"/>
  <c r="F65" i="85"/>
  <c r="D65" i="85"/>
  <c r="D172" i="85"/>
  <c r="D171" i="85"/>
  <c r="H170" i="85"/>
  <c r="F170" i="85"/>
  <c r="D170" i="85"/>
  <c r="D166" i="85"/>
  <c r="D167" i="85"/>
  <c r="H165" i="85"/>
  <c r="F165" i="85"/>
  <c r="D165" i="85"/>
  <c r="D162" i="85"/>
  <c r="D158" i="85"/>
  <c r="D157" i="85"/>
  <c r="D156" i="85"/>
  <c r="H155" i="85"/>
  <c r="F155" i="85"/>
  <c r="D155" i="85"/>
  <c r="D152" i="85"/>
  <c r="D151" i="85"/>
  <c r="H150" i="85"/>
  <c r="F150" i="85"/>
  <c r="D150" i="85"/>
  <c r="D147" i="85"/>
  <c r="D146" i="85"/>
  <c r="F145" i="85"/>
  <c r="D145" i="85"/>
  <c r="D143" i="85"/>
  <c r="D141" i="85"/>
  <c r="H140" i="85"/>
  <c r="F140" i="85"/>
  <c r="D140" i="85"/>
  <c r="D137" i="85"/>
  <c r="H135" i="85"/>
  <c r="F135" i="85"/>
  <c r="D135" i="85"/>
  <c r="D133" i="85"/>
  <c r="H130" i="85"/>
  <c r="F130" i="85"/>
  <c r="D130" i="85"/>
  <c r="D128" i="85"/>
  <c r="D123" i="85"/>
  <c r="D122" i="85"/>
  <c r="D121" i="85"/>
  <c r="H120" i="85"/>
  <c r="F120" i="85"/>
  <c r="D120" i="85"/>
  <c r="D116" i="85"/>
  <c r="D118" i="85"/>
  <c r="D117" i="85"/>
  <c r="H115" i="85"/>
  <c r="F115" i="85"/>
  <c r="D113" i="85"/>
  <c r="H110" i="85"/>
  <c r="F110" i="85"/>
  <c r="D110" i="85"/>
  <c r="D107" i="85"/>
  <c r="D106" i="85"/>
  <c r="H105" i="85"/>
  <c r="F105" i="85"/>
  <c r="D105" i="85"/>
  <c r="D102" i="85"/>
  <c r="H20" i="85"/>
  <c r="D20" i="85"/>
  <c r="F15" i="85"/>
  <c r="D15" i="85"/>
  <c r="H10" i="85"/>
  <c r="F10" i="85"/>
  <c r="D10" i="85"/>
  <c r="F5" i="85"/>
  <c r="F100" i="85"/>
  <c r="H100" i="85"/>
  <c r="D100" i="85"/>
  <c r="D103" i="85"/>
  <c r="D101" i="85"/>
  <c r="D98" i="85"/>
  <c r="D97" i="85"/>
  <c r="D96" i="85"/>
  <c r="H95" i="85"/>
  <c r="F95" i="85"/>
  <c r="D93" i="85"/>
  <c r="D91" i="85"/>
  <c r="F90" i="85"/>
  <c r="D90" i="85"/>
  <c r="D88" i="85"/>
  <c r="D87" i="85"/>
  <c r="D86" i="85"/>
  <c r="H85" i="85"/>
  <c r="F85" i="85"/>
  <c r="D83" i="85"/>
  <c r="D82" i="85"/>
  <c r="D81" i="85"/>
  <c r="H80" i="85"/>
  <c r="F80" i="85"/>
  <c r="D80" i="85"/>
  <c r="H75" i="85"/>
  <c r="D77" i="85"/>
  <c r="D76" i="85"/>
  <c r="F75" i="85"/>
  <c r="D75" i="85"/>
  <c r="D72" i="85"/>
  <c r="D71" i="85"/>
  <c r="H70" i="85"/>
  <c r="F70" i="85"/>
  <c r="D70" i="85"/>
  <c r="D63" i="85"/>
  <c r="D61" i="85"/>
  <c r="H60" i="85"/>
  <c r="F60" i="85"/>
  <c r="D60" i="85"/>
  <c r="D58" i="85"/>
  <c r="D56" i="85"/>
  <c r="H55" i="85"/>
  <c r="F55" i="85"/>
  <c r="D55" i="85"/>
  <c r="D53" i="85"/>
  <c r="D51" i="85"/>
  <c r="H50" i="85"/>
  <c r="F50" i="85"/>
  <c r="D50" i="85"/>
  <c r="D48" i="85"/>
  <c r="D47" i="85"/>
  <c r="D46" i="85"/>
  <c r="H45" i="85"/>
  <c r="F45" i="85"/>
  <c r="D45" i="85"/>
  <c r="D42" i="85"/>
  <c r="D41" i="85"/>
  <c r="H40" i="85"/>
  <c r="F40" i="85"/>
  <c r="D40" i="85"/>
  <c r="D38" i="85"/>
  <c r="D37" i="85"/>
  <c r="D36" i="85"/>
  <c r="H35" i="85"/>
  <c r="F35" i="85"/>
  <c r="H30" i="85"/>
  <c r="D32" i="85"/>
  <c r="D31" i="85"/>
  <c r="F30" i="85"/>
  <c r="D30" i="85"/>
  <c r="H25" i="85"/>
  <c r="F25" i="85"/>
  <c r="D25" i="85"/>
  <c r="D28" i="85"/>
  <c r="D26" i="85"/>
  <c r="D23" i="85"/>
  <c r="D22" i="85"/>
  <c r="D21" i="85"/>
  <c r="D18" i="85"/>
  <c r="D17" i="85"/>
  <c r="D16" i="85"/>
  <c r="D13" i="85"/>
  <c r="D11" i="85"/>
  <c r="D8" i="85"/>
  <c r="D6" i="85"/>
  <c r="D7" i="85"/>
  <c r="K19" i="84"/>
  <c r="K20" i="84"/>
  <c r="K21" i="84"/>
  <c r="K22" i="84"/>
  <c r="K23" i="84"/>
  <c r="K24" i="84"/>
  <c r="K25" i="84"/>
  <c r="K26" i="84"/>
  <c r="K27" i="84"/>
  <c r="K28" i="84"/>
  <c r="K29" i="84"/>
  <c r="K30" i="84"/>
  <c r="K31" i="84"/>
  <c r="K32" i="84"/>
  <c r="K33" i="84"/>
  <c r="K34" i="84"/>
  <c r="K35" i="84"/>
  <c r="K36" i="84"/>
  <c r="K37" i="84"/>
  <c r="K38" i="84"/>
  <c r="K39" i="84"/>
  <c r="K40" i="84"/>
  <c r="K41" i="84"/>
  <c r="K42" i="84"/>
  <c r="K43" i="84"/>
  <c r="K44" i="84"/>
  <c r="K45" i="84"/>
  <c r="K46" i="84"/>
  <c r="K47" i="84"/>
  <c r="A16" i="84"/>
  <c r="A13" i="84"/>
  <c r="A9" i="84"/>
  <c r="A18" i="84"/>
  <c r="A19" i="84"/>
  <c r="A8" i="84"/>
  <c r="C22" i="78"/>
  <c r="D22" i="78"/>
  <c r="D34" i="78"/>
  <c r="D46" i="78"/>
  <c r="D44" i="78"/>
  <c r="D70" i="78"/>
  <c r="D65" i="78"/>
  <c r="D43" i="78"/>
  <c r="K8" i="85"/>
  <c r="D5" i="85"/>
  <c r="N13" i="87"/>
  <c r="C9" i="81"/>
  <c r="G9" i="81"/>
  <c r="O21" i="69"/>
  <c r="C7" i="81" s="1"/>
  <c r="L18" i="83"/>
  <c r="I6" i="81"/>
  <c r="Y6" i="81"/>
  <c r="E148" i="85"/>
  <c r="G148" i="85"/>
  <c r="C148" i="85"/>
  <c r="L18" i="44"/>
  <c r="E96" i="85"/>
  <c r="N13" i="70"/>
  <c r="C19" i="81"/>
  <c r="G19" i="81"/>
  <c r="O33" i="24"/>
  <c r="K26" i="81" s="1"/>
  <c r="D11" i="81"/>
  <c r="T11" i="81" s="1"/>
  <c r="C40" i="82" s="1"/>
  <c r="D30" i="81"/>
  <c r="D8" i="81"/>
  <c r="H8" i="81"/>
  <c r="X8" i="81"/>
  <c r="A24" i="48"/>
  <c r="D6" i="81"/>
  <c r="T6" i="81"/>
  <c r="C36" i="82"/>
  <c r="J28" i="8"/>
  <c r="K20" i="71"/>
  <c r="E11" i="81"/>
  <c r="U11" i="81"/>
  <c r="J24" i="36"/>
  <c r="I8" i="81"/>
  <c r="E173" i="85"/>
  <c r="C173" i="85"/>
  <c r="E146" i="85"/>
  <c r="J24" i="48"/>
  <c r="E138" i="85"/>
  <c r="J18" i="70"/>
  <c r="D19" i="81"/>
  <c r="T19" i="81"/>
  <c r="O16" i="62"/>
  <c r="C17" i="81"/>
  <c r="G17" i="81" s="1"/>
  <c r="F125" i="85"/>
  <c r="D125" i="85"/>
  <c r="I6" i="85"/>
  <c r="K6" i="85"/>
  <c r="D126" i="85"/>
  <c r="U6" i="81"/>
  <c r="L10" i="81"/>
  <c r="O32" i="81"/>
  <c r="G67" i="85"/>
  <c r="G65" i="85"/>
  <c r="L16" i="77"/>
  <c r="J16" i="77"/>
  <c r="I32" i="81"/>
  <c r="Y32" i="81"/>
  <c r="M12" i="77"/>
  <c r="C32" i="81"/>
  <c r="M16" i="77"/>
  <c r="S32" i="81"/>
  <c r="G18" i="44"/>
  <c r="E37" i="81"/>
  <c r="D35" i="85"/>
  <c r="D85" i="85"/>
  <c r="D95" i="85"/>
  <c r="D115" i="85"/>
  <c r="I5" i="85"/>
  <c r="D92" i="85"/>
  <c r="J7" i="85"/>
  <c r="I39" i="78"/>
  <c r="K7" i="85"/>
  <c r="K5" i="85"/>
  <c r="I9" i="81"/>
  <c r="A18" i="44"/>
  <c r="L18" i="81"/>
  <c r="T18" i="81" s="1"/>
  <c r="C27" i="82" s="1"/>
  <c r="J18" i="87"/>
  <c r="J26" i="69"/>
  <c r="D32" i="81"/>
  <c r="H32" i="81"/>
  <c r="X32" i="81"/>
  <c r="T32" i="81"/>
  <c r="C43" i="82"/>
  <c r="AC32" i="81"/>
  <c r="AA32" i="81"/>
  <c r="D43" i="82"/>
  <c r="K18" i="87"/>
  <c r="N17" i="87"/>
  <c r="K9" i="81"/>
  <c r="O9" i="81"/>
  <c r="G138" i="85"/>
  <c r="C138" i="85"/>
  <c r="J21" i="62"/>
  <c r="K37" i="4"/>
  <c r="A18" i="88"/>
  <c r="D39" i="81"/>
  <c r="N18" i="87"/>
  <c r="O21" i="62"/>
  <c r="G23" i="17"/>
  <c r="D17" i="81"/>
  <c r="H17" i="81" s="1"/>
  <c r="X17" i="81" s="1"/>
  <c r="T17" i="81"/>
  <c r="C33" i="82"/>
  <c r="P17" i="81"/>
  <c r="H18" i="83"/>
  <c r="F18" i="83"/>
  <c r="P15" i="81"/>
  <c r="Y19" i="81"/>
  <c r="AD19" i="81"/>
  <c r="N18" i="70"/>
  <c r="J18" i="83"/>
  <c r="K23" i="43"/>
  <c r="O17" i="88"/>
  <c r="K37" i="81"/>
  <c r="O37" i="81"/>
  <c r="G34" i="24"/>
  <c r="C17" i="89"/>
  <c r="AB32" i="81"/>
  <c r="AD32" i="81"/>
  <c r="C66" i="85"/>
  <c r="G32" i="81"/>
  <c r="U32" i="81"/>
  <c r="E68" i="85"/>
  <c r="C68" i="85"/>
  <c r="E67" i="85"/>
  <c r="W32" i="81"/>
  <c r="C67" i="85"/>
  <c r="E65" i="85"/>
  <c r="C65" i="85"/>
  <c r="C69" i="85"/>
  <c r="D15" i="89"/>
  <c r="C12" i="89"/>
  <c r="A23" i="5"/>
  <c r="D21" i="81"/>
  <c r="F34" i="24"/>
  <c r="O28" i="4"/>
  <c r="Y11" i="81"/>
  <c r="AD11" i="81"/>
  <c r="J20" i="71"/>
  <c r="A18" i="70"/>
  <c r="H19" i="81"/>
  <c r="X19" i="81"/>
  <c r="A18" i="87"/>
  <c r="K24" i="36"/>
  <c r="G24" i="36"/>
  <c r="F24" i="36"/>
  <c r="O24" i="48"/>
  <c r="K6" i="81"/>
  <c r="O6" i="81"/>
  <c r="G147" i="85"/>
  <c r="G145" i="85"/>
  <c r="P6" i="81"/>
  <c r="F24" i="48"/>
  <c r="S6" i="81"/>
  <c r="AA6" i="81" s="1"/>
  <c r="G6" i="81"/>
  <c r="E147" i="85"/>
  <c r="K18" i="88"/>
  <c r="F18" i="88"/>
  <c r="O13" i="88"/>
  <c r="O18" i="88"/>
  <c r="C37" i="81"/>
  <c r="G37" i="81"/>
  <c r="L5" i="81"/>
  <c r="P5" i="81" s="1"/>
  <c r="C23" i="89"/>
  <c r="E16" i="89"/>
  <c r="A37" i="4"/>
  <c r="A21" i="80"/>
  <c r="D5" i="81"/>
  <c r="O24" i="36"/>
  <c r="C8" i="81"/>
  <c r="G8" i="81"/>
  <c r="D43" i="89"/>
  <c r="C171" i="85"/>
  <c r="U8" i="81"/>
  <c r="V8" i="81"/>
  <c r="Y8" i="81"/>
  <c r="AD8" i="81"/>
  <c r="A26" i="91"/>
  <c r="F8" i="91"/>
  <c r="F16" i="91"/>
  <c r="A6" i="91"/>
  <c r="A16" i="91"/>
  <c r="A8" i="91"/>
  <c r="A7" i="91"/>
  <c r="F6" i="91"/>
  <c r="F5" i="91"/>
  <c r="A5" i="91"/>
  <c r="D22" i="89"/>
  <c r="F19" i="89"/>
  <c r="D12" i="89"/>
  <c r="L42" i="81"/>
  <c r="E42" i="81"/>
  <c r="J23" i="43"/>
  <c r="H23" i="43"/>
  <c r="L23" i="43"/>
  <c r="Z41" i="81"/>
  <c r="G23" i="43"/>
  <c r="D41" i="81"/>
  <c r="H41" i="81"/>
  <c r="A23" i="43"/>
  <c r="O22" i="43"/>
  <c r="K41" i="81"/>
  <c r="O41" i="81"/>
  <c r="G122" i="85"/>
  <c r="C31" i="89"/>
  <c r="O18" i="43"/>
  <c r="C41" i="81"/>
  <c r="U41" i="81"/>
  <c r="E121" i="85"/>
  <c r="E123" i="85"/>
  <c r="C123" i="85"/>
  <c r="F23" i="43"/>
  <c r="L41" i="81"/>
  <c r="P41" i="81"/>
  <c r="E40" i="81"/>
  <c r="E111" i="85" s="1"/>
  <c r="O22" i="8"/>
  <c r="C39" i="81"/>
  <c r="K28" i="8"/>
  <c r="E29" i="89"/>
  <c r="F28" i="8"/>
  <c r="V39" i="81"/>
  <c r="L39" i="81"/>
  <c r="P39" i="81"/>
  <c r="H39" i="81"/>
  <c r="X39" i="81"/>
  <c r="O27" i="8"/>
  <c r="K39" i="81"/>
  <c r="O39" i="81"/>
  <c r="G107" i="85"/>
  <c r="G105" i="85"/>
  <c r="G39" i="81"/>
  <c r="E107" i="85"/>
  <c r="Y39" i="81"/>
  <c r="AD39" i="81"/>
  <c r="E108" i="85"/>
  <c r="C108" i="85"/>
  <c r="A28" i="8"/>
  <c r="C29" i="89"/>
  <c r="Z38" i="81"/>
  <c r="O25" i="11"/>
  <c r="K38" i="81" s="1"/>
  <c r="O38" i="81" s="1"/>
  <c r="G102" i="85" s="1"/>
  <c r="H26" i="11"/>
  <c r="E28" i="89"/>
  <c r="L38" i="81"/>
  <c r="P38" i="81" s="1"/>
  <c r="V35" i="81"/>
  <c r="D35" i="81"/>
  <c r="H35" i="81" s="1"/>
  <c r="I35" i="81"/>
  <c r="E83" i="85"/>
  <c r="C83" i="85" s="1"/>
  <c r="O16" i="17"/>
  <c r="C34" i="81" s="1"/>
  <c r="D34" i="81"/>
  <c r="C24" i="89"/>
  <c r="V34" i="81"/>
  <c r="O22" i="17"/>
  <c r="K34" i="81"/>
  <c r="F23" i="17"/>
  <c r="D24" i="89"/>
  <c r="Z31" i="81"/>
  <c r="J39" i="18"/>
  <c r="E22" i="89"/>
  <c r="E30" i="81"/>
  <c r="E56" i="85" s="1"/>
  <c r="C19" i="89"/>
  <c r="D19" i="89"/>
  <c r="F36" i="22"/>
  <c r="K34" i="24"/>
  <c r="I26" i="81"/>
  <c r="E38" i="85" s="1"/>
  <c r="L26" i="81"/>
  <c r="P26" i="81" s="1"/>
  <c r="O25" i="25"/>
  <c r="K24" i="81" s="1"/>
  <c r="O24" i="81" s="1"/>
  <c r="G27" i="85" s="1"/>
  <c r="D24" i="81"/>
  <c r="D14" i="81"/>
  <c r="H14" i="81" s="1"/>
  <c r="C35" i="89"/>
  <c r="E35" i="89"/>
  <c r="L14" i="81"/>
  <c r="P14" i="81" s="1"/>
  <c r="A19" i="47"/>
  <c r="A19" i="67"/>
  <c r="C33" i="89" s="1"/>
  <c r="D45" i="89"/>
  <c r="P10" i="81"/>
  <c r="G161" i="85"/>
  <c r="G160" i="85" s="1"/>
  <c r="D10" i="81"/>
  <c r="H10" i="81" s="1"/>
  <c r="X10" i="81" s="1"/>
  <c r="K30" i="26"/>
  <c r="A32" i="19"/>
  <c r="O31" i="19"/>
  <c r="K20" i="81" s="1"/>
  <c r="S8" i="81"/>
  <c r="D42" i="82"/>
  <c r="T8" i="81"/>
  <c r="C42" i="82"/>
  <c r="AD6" i="81"/>
  <c r="C146" i="85"/>
  <c r="D36" i="82"/>
  <c r="H6" i="81"/>
  <c r="X6" i="81" s="1"/>
  <c r="E116" i="85"/>
  <c r="O23" i="43"/>
  <c r="G41" i="81"/>
  <c r="W41" i="81"/>
  <c r="S41" i="81"/>
  <c r="AC41" i="81"/>
  <c r="T39" i="81"/>
  <c r="C29" i="82"/>
  <c r="S39" i="81"/>
  <c r="AB39" i="81"/>
  <c r="O28" i="8"/>
  <c r="AC39" i="81"/>
  <c r="O23" i="17"/>
  <c r="AB8" i="81"/>
  <c r="AA41" i="81"/>
  <c r="D32" i="82"/>
  <c r="E122" i="85"/>
  <c r="D29" i="82"/>
  <c r="E120" i="85"/>
  <c r="C34" i="82"/>
  <c r="G135" i="85"/>
  <c r="E137" i="85"/>
  <c r="C137" i="85"/>
  <c r="W19" i="81"/>
  <c r="S19" i="81"/>
  <c r="E136" i="85"/>
  <c r="D34" i="82"/>
  <c r="AC19" i="81"/>
  <c r="AA19" i="81"/>
  <c r="E135" i="85"/>
  <c r="C135" i="85"/>
  <c r="C136" i="85"/>
  <c r="AB19" i="81"/>
  <c r="C139" i="85"/>
  <c r="W8" i="81"/>
  <c r="E172" i="85"/>
  <c r="AA8" i="81"/>
  <c r="AC8" i="81"/>
  <c r="I7" i="81"/>
  <c r="C147" i="85"/>
  <c r="E145" i="85"/>
  <c r="C145" i="85" s="1"/>
  <c r="C149" i="85" s="1"/>
  <c r="W6" i="81"/>
  <c r="E156" i="85"/>
  <c r="P11" i="81"/>
  <c r="C131" i="85"/>
  <c r="U17" i="81"/>
  <c r="Y17" i="81"/>
  <c r="C122" i="85"/>
  <c r="AB41" i="81"/>
  <c r="AD41" i="81"/>
  <c r="G120" i="85"/>
  <c r="C120" i="85"/>
  <c r="C124" i="85"/>
  <c r="X41" i="81"/>
  <c r="C121" i="85"/>
  <c r="T41" i="81"/>
  <c r="C32" i="82"/>
  <c r="E105" i="85"/>
  <c r="C105" i="85"/>
  <c r="C109" i="85"/>
  <c r="C106" i="85"/>
  <c r="C107" i="85"/>
  <c r="AA39" i="81"/>
  <c r="U39" i="81"/>
  <c r="W39" i="81"/>
  <c r="J34" i="16"/>
  <c r="F14" i="89"/>
  <c r="C172" i="85"/>
  <c r="E170" i="85"/>
  <c r="C170" i="85"/>
  <c r="C174" i="85"/>
  <c r="E168" i="85"/>
  <c r="C156" i="85"/>
  <c r="AD17" i="81"/>
  <c r="G141" i="85"/>
  <c r="G101" i="85"/>
  <c r="J26" i="11"/>
  <c r="U35" i="81"/>
  <c r="J59" i="35"/>
  <c r="J22" i="5"/>
  <c r="M21" i="81" s="1"/>
  <c r="G11" i="85" s="1"/>
  <c r="L22" i="5"/>
  <c r="I20" i="81"/>
  <c r="E8" i="85" s="1"/>
  <c r="Y35" i="81"/>
  <c r="G83" i="85"/>
  <c r="AD35" i="81"/>
  <c r="G100" i="85" l="1"/>
  <c r="F26" i="11"/>
  <c r="V38" i="81"/>
  <c r="A26" i="11"/>
  <c r="C28" i="89"/>
  <c r="O19" i="11"/>
  <c r="A39" i="18"/>
  <c r="J25" i="94"/>
  <c r="J34" i="95"/>
  <c r="J37" i="93"/>
  <c r="J34" i="96"/>
  <c r="Z29" i="81"/>
  <c r="K19" i="47"/>
  <c r="O18" i="47"/>
  <c r="K14" i="81" s="1"/>
  <c r="O14" i="81" s="1"/>
  <c r="G142" i="85" s="1"/>
  <c r="O12" i="47"/>
  <c r="O19" i="47" s="1"/>
  <c r="J19" i="47"/>
  <c r="G19" i="47"/>
  <c r="J35" i="96"/>
  <c r="J26" i="94"/>
  <c r="J35" i="95"/>
  <c r="J38" i="93"/>
  <c r="Z14" i="81"/>
  <c r="F19" i="47"/>
  <c r="F25" i="94"/>
  <c r="F34" i="96"/>
  <c r="F34" i="95"/>
  <c r="F37" i="93"/>
  <c r="F35" i="95"/>
  <c r="F38" i="93"/>
  <c r="F35" i="96"/>
  <c r="F26" i="94"/>
  <c r="X14" i="81"/>
  <c r="F35" i="89"/>
  <c r="F21" i="80"/>
  <c r="G21" i="80"/>
  <c r="V5" i="81"/>
  <c r="J21" i="80"/>
  <c r="Y5" i="81"/>
  <c r="K21" i="80"/>
  <c r="T5" i="81"/>
  <c r="C9" i="82" s="1"/>
  <c r="U5" i="81"/>
  <c r="O5" i="81"/>
  <c r="H5" i="81"/>
  <c r="E19" i="89"/>
  <c r="L28" i="81"/>
  <c r="P28" i="81"/>
  <c r="G37" i="4"/>
  <c r="E15" i="89"/>
  <c r="Z24" i="81"/>
  <c r="O22" i="81"/>
  <c r="G17" i="85" s="1"/>
  <c r="H30" i="9"/>
  <c r="D46" i="89"/>
  <c r="O15" i="71"/>
  <c r="H11" i="81"/>
  <c r="X11" i="81" s="1"/>
  <c r="E163" i="85"/>
  <c r="C163" i="85" s="1"/>
  <c r="Y10" i="81"/>
  <c r="C10" i="81"/>
  <c r="O30" i="26"/>
  <c r="E161" i="85"/>
  <c r="U10" i="81"/>
  <c r="A30" i="26"/>
  <c r="F30" i="26"/>
  <c r="T10" i="81"/>
  <c r="C39" i="82" s="1"/>
  <c r="J30" i="26"/>
  <c r="E189" i="85"/>
  <c r="H7" i="81"/>
  <c r="X7" i="81" s="1"/>
  <c r="G7" i="81"/>
  <c r="S7" i="81"/>
  <c r="E166" i="85"/>
  <c r="U7" i="81"/>
  <c r="O7" i="81"/>
  <c r="G167" i="85" s="1"/>
  <c r="G165" i="85" s="1"/>
  <c r="G168" i="85"/>
  <c r="C168" i="85" s="1"/>
  <c r="Y7" i="81"/>
  <c r="O26" i="69"/>
  <c r="AC6" i="81"/>
  <c r="AB6" i="81"/>
  <c r="G96" i="85"/>
  <c r="O18" i="81"/>
  <c r="G97" i="85" s="1"/>
  <c r="U18" i="81"/>
  <c r="E98" i="85"/>
  <c r="C98" i="85" s="1"/>
  <c r="Y18" i="81"/>
  <c r="F18" i="44"/>
  <c r="O13" i="44"/>
  <c r="K18" i="44"/>
  <c r="P18" i="81"/>
  <c r="X18" i="81" s="1"/>
  <c r="J18" i="44"/>
  <c r="W17" i="81"/>
  <c r="E132" i="85"/>
  <c r="S17" i="81"/>
  <c r="K25" i="73"/>
  <c r="H25" i="73"/>
  <c r="O19" i="73"/>
  <c r="C16" i="81" s="1"/>
  <c r="H16" i="81"/>
  <c r="A25" i="73"/>
  <c r="Z16" i="81"/>
  <c r="L16" i="81"/>
  <c r="P16" i="81" s="1"/>
  <c r="C37" i="89"/>
  <c r="D37" i="89"/>
  <c r="Y16" i="81"/>
  <c r="J25" i="73"/>
  <c r="G16" i="81"/>
  <c r="C91" i="85"/>
  <c r="AD16" i="81"/>
  <c r="G93" i="85"/>
  <c r="C93" i="85" s="1"/>
  <c r="G25" i="73"/>
  <c r="F37" i="89"/>
  <c r="O24" i="73"/>
  <c r="U16" i="81"/>
  <c r="H15" i="81"/>
  <c r="X15" i="81" s="1"/>
  <c r="O18" i="83"/>
  <c r="C15" i="81"/>
  <c r="G178" i="85"/>
  <c r="Y15" i="81"/>
  <c r="C176" i="85"/>
  <c r="C178" i="85"/>
  <c r="G18" i="83"/>
  <c r="K18" i="83"/>
  <c r="V15" i="81"/>
  <c r="U15" i="81"/>
  <c r="C14" i="81"/>
  <c r="S14" i="81" s="1"/>
  <c r="AC14" i="81" s="1"/>
  <c r="T14" i="81"/>
  <c r="C35" i="82" s="1"/>
  <c r="G140" i="85"/>
  <c r="Y14" i="81"/>
  <c r="E143" i="85"/>
  <c r="C143" i="85" s="1"/>
  <c r="E141" i="85"/>
  <c r="U14" i="81"/>
  <c r="AA14" i="81"/>
  <c r="D35" i="89"/>
  <c r="F19" i="67"/>
  <c r="Z12" i="81"/>
  <c r="D33" i="89"/>
  <c r="H19" i="67"/>
  <c r="A20" i="23"/>
  <c r="O19" i="23"/>
  <c r="K27" i="81" s="1"/>
  <c r="O27" i="81" s="1"/>
  <c r="G42" i="85" s="1"/>
  <c r="E13" i="81"/>
  <c r="U13" i="81" s="1"/>
  <c r="L13" i="81"/>
  <c r="P13" i="81" s="1"/>
  <c r="D13" i="81"/>
  <c r="H13" i="81" s="1"/>
  <c r="F55" i="45"/>
  <c r="D37" i="82" s="1"/>
  <c r="A55" i="45"/>
  <c r="V13" i="81"/>
  <c r="P44" i="45"/>
  <c r="C13" i="81" s="1"/>
  <c r="G55" i="45"/>
  <c r="Z13" i="81"/>
  <c r="Z44" i="81" s="1"/>
  <c r="B15" i="79" s="1"/>
  <c r="H55" i="45"/>
  <c r="I13" i="81"/>
  <c r="E128" i="85" s="1"/>
  <c r="O13" i="81"/>
  <c r="G127" i="85" s="1"/>
  <c r="G125" i="85" s="1"/>
  <c r="G128" i="85"/>
  <c r="N44" i="81"/>
  <c r="B11" i="79" s="1"/>
  <c r="R44" i="81"/>
  <c r="J19" i="67"/>
  <c r="V12" i="81"/>
  <c r="P12" i="81"/>
  <c r="K44" i="81"/>
  <c r="D5" i="82" s="1"/>
  <c r="O12" i="81"/>
  <c r="G153" i="85"/>
  <c r="Q44" i="81"/>
  <c r="U12" i="81"/>
  <c r="E151" i="85"/>
  <c r="G151" i="85"/>
  <c r="M44" i="81"/>
  <c r="C11" i="79" s="1"/>
  <c r="T12" i="81"/>
  <c r="C38" i="82" s="1"/>
  <c r="G12" i="81"/>
  <c r="S12" i="81"/>
  <c r="E153" i="85"/>
  <c r="Y12" i="81"/>
  <c r="O19" i="67"/>
  <c r="K19" i="67"/>
  <c r="G116" i="85"/>
  <c r="U42" i="81"/>
  <c r="J22" i="7"/>
  <c r="P42" i="81"/>
  <c r="V42" i="81"/>
  <c r="H22" i="7"/>
  <c r="L22" i="7"/>
  <c r="Z42" i="81"/>
  <c r="O21" i="7"/>
  <c r="K42" i="81" s="1"/>
  <c r="O42" i="81" s="1"/>
  <c r="G117" i="85" s="1"/>
  <c r="G115" i="85" s="1"/>
  <c r="T42" i="81"/>
  <c r="C31" i="82" s="1"/>
  <c r="F22" i="7"/>
  <c r="E118" i="85"/>
  <c r="C118" i="85" s="1"/>
  <c r="Y42" i="81"/>
  <c r="O17" i="7"/>
  <c r="A22" i="7"/>
  <c r="D32" i="89"/>
  <c r="C116" i="85"/>
  <c r="K22" i="7"/>
  <c r="H42" i="81"/>
  <c r="D40" i="81"/>
  <c r="H40" i="81" s="1"/>
  <c r="F38" i="42"/>
  <c r="O37" i="42"/>
  <c r="K40" i="81" s="1"/>
  <c r="O40" i="81" s="1"/>
  <c r="G112" i="85" s="1"/>
  <c r="K38" i="42"/>
  <c r="V40" i="81"/>
  <c r="O25" i="42"/>
  <c r="C40" i="81" s="1"/>
  <c r="G40" i="81" s="1"/>
  <c r="E113" i="85"/>
  <c r="C113" i="85" s="1"/>
  <c r="Y40" i="81"/>
  <c r="S40" i="81"/>
  <c r="U40" i="81"/>
  <c r="G111" i="85"/>
  <c r="A38" i="42"/>
  <c r="O38" i="42"/>
  <c r="L40" i="81"/>
  <c r="J38" i="42"/>
  <c r="E101" i="85"/>
  <c r="U38" i="81"/>
  <c r="T38" i="81"/>
  <c r="C28" i="82" s="1"/>
  <c r="H38" i="81"/>
  <c r="X38" i="81" s="1"/>
  <c r="Y38" i="81"/>
  <c r="K26" i="11"/>
  <c r="L83" i="15"/>
  <c r="Z36" i="81"/>
  <c r="V36" i="81"/>
  <c r="H83" i="15"/>
  <c r="O82" i="15"/>
  <c r="K36" i="81" s="1"/>
  <c r="O36" i="81" s="1"/>
  <c r="G87" i="85" s="1"/>
  <c r="F83" i="15"/>
  <c r="J83" i="15"/>
  <c r="G83" i="15"/>
  <c r="G85" i="85"/>
  <c r="A83" i="15"/>
  <c r="L36" i="81"/>
  <c r="P36" i="81" s="1"/>
  <c r="E88" i="85"/>
  <c r="C88" i="85" s="1"/>
  <c r="Y36" i="81"/>
  <c r="O38" i="15"/>
  <c r="C26" i="89"/>
  <c r="D36" i="81"/>
  <c r="K83" i="15"/>
  <c r="E36" i="81"/>
  <c r="G80" i="85"/>
  <c r="C81" i="85"/>
  <c r="L35" i="81"/>
  <c r="F25" i="89"/>
  <c r="F34" i="16"/>
  <c r="O22" i="16"/>
  <c r="O34" i="81"/>
  <c r="G77" i="85" s="1"/>
  <c r="G75" i="85" s="1"/>
  <c r="H34" i="81"/>
  <c r="X34" i="81" s="1"/>
  <c r="L23" i="17"/>
  <c r="S34" i="81"/>
  <c r="G34" i="81"/>
  <c r="E78" i="85"/>
  <c r="C78" i="85" s="1"/>
  <c r="Y34" i="81"/>
  <c r="U34" i="81"/>
  <c r="E76" i="85"/>
  <c r="T34" i="81"/>
  <c r="C23" i="82" s="1"/>
  <c r="E24" i="89"/>
  <c r="K23" i="17"/>
  <c r="H33" i="81"/>
  <c r="H44" i="35"/>
  <c r="A44" i="35"/>
  <c r="K59" i="35"/>
  <c r="V33" i="81"/>
  <c r="F44" i="35"/>
  <c r="O54" i="35"/>
  <c r="C33" i="81" s="1"/>
  <c r="S33" i="81" s="1"/>
  <c r="G44" i="35"/>
  <c r="L59" i="35"/>
  <c r="G33" i="81"/>
  <c r="E73" i="85"/>
  <c r="C73" i="85" s="1"/>
  <c r="Y33" i="81"/>
  <c r="C71" i="85"/>
  <c r="G70" i="85"/>
  <c r="U33" i="81"/>
  <c r="P33" i="81"/>
  <c r="O34" i="18"/>
  <c r="C31" i="81" s="1"/>
  <c r="O38" i="18"/>
  <c r="K31" i="81" s="1"/>
  <c r="C63" i="85"/>
  <c r="K39" i="18"/>
  <c r="P31" i="81"/>
  <c r="G31" i="81"/>
  <c r="C61" i="85"/>
  <c r="U31" i="81"/>
  <c r="F39" i="18"/>
  <c r="F22" i="89"/>
  <c r="F47" i="89" s="1"/>
  <c r="E5" i="89" s="1"/>
  <c r="C22" i="89"/>
  <c r="D31" i="81"/>
  <c r="Y31" i="81"/>
  <c r="L55" i="20"/>
  <c r="K55" i="20"/>
  <c r="V30" i="81"/>
  <c r="Z30" i="81"/>
  <c r="H30" i="81"/>
  <c r="J55" i="20"/>
  <c r="H55" i="20"/>
  <c r="O27" i="20"/>
  <c r="C30" i="81" s="1"/>
  <c r="G30" i="81" s="1"/>
  <c r="G55" i="20"/>
  <c r="L30" i="81"/>
  <c r="P30" i="81" s="1"/>
  <c r="C56" i="85"/>
  <c r="E58" i="85"/>
  <c r="C58" i="85" s="1"/>
  <c r="Y30" i="81"/>
  <c r="O54" i="20"/>
  <c r="K30" i="81" s="1"/>
  <c r="O30" i="81" s="1"/>
  <c r="G57" i="85" s="1"/>
  <c r="G55" i="85" s="1"/>
  <c r="F55" i="20"/>
  <c r="A55" i="20"/>
  <c r="U30" i="81"/>
  <c r="O25" i="21"/>
  <c r="K29" i="81" s="1"/>
  <c r="O29" i="81" s="1"/>
  <c r="G52" i="85" s="1"/>
  <c r="L29" i="81"/>
  <c r="P29" i="81" s="1"/>
  <c r="F26" i="21"/>
  <c r="A26" i="21"/>
  <c r="V29" i="81"/>
  <c r="H29" i="81"/>
  <c r="C20" i="89"/>
  <c r="O19" i="21"/>
  <c r="C29" i="81" s="1"/>
  <c r="L26" i="21"/>
  <c r="H26" i="21"/>
  <c r="J26" i="21"/>
  <c r="Y29" i="81"/>
  <c r="E53" i="85"/>
  <c r="C53" i="85" s="1"/>
  <c r="G51" i="85"/>
  <c r="K26" i="21"/>
  <c r="E29" i="81"/>
  <c r="G26" i="21"/>
  <c r="V28" i="81"/>
  <c r="C28" i="81"/>
  <c r="G28" i="81" s="1"/>
  <c r="E47" i="85" s="1"/>
  <c r="O36" i="22"/>
  <c r="E46" i="85"/>
  <c r="E45" i="85" s="1"/>
  <c r="U28" i="81"/>
  <c r="J36" i="22"/>
  <c r="I28" i="81"/>
  <c r="E48" i="85" s="1"/>
  <c r="O28" i="81"/>
  <c r="G47" i="85" s="1"/>
  <c r="G45" i="85" s="1"/>
  <c r="Y28" i="81"/>
  <c r="AD28" i="81" s="1"/>
  <c r="T28" i="81"/>
  <c r="C18" i="82" s="1"/>
  <c r="S28" i="81"/>
  <c r="D18" i="82" s="1"/>
  <c r="H28" i="81"/>
  <c r="X28" i="81" s="1"/>
  <c r="Z28" i="81"/>
  <c r="G48" i="85"/>
  <c r="C48" i="85" s="1"/>
  <c r="L20" i="23"/>
  <c r="G20" i="23"/>
  <c r="L27" i="81"/>
  <c r="P27" i="81" s="1"/>
  <c r="V27" i="81"/>
  <c r="Z27" i="81"/>
  <c r="F20" i="23"/>
  <c r="G40" i="85"/>
  <c r="U27" i="81"/>
  <c r="E41" i="85"/>
  <c r="Y27" i="81"/>
  <c r="E43" i="85"/>
  <c r="C43" i="85" s="1"/>
  <c r="H27" i="81"/>
  <c r="K20" i="23"/>
  <c r="O15" i="23"/>
  <c r="D18" i="89"/>
  <c r="J34" i="24"/>
  <c r="O26" i="81"/>
  <c r="G37" i="85" s="1"/>
  <c r="C38" i="85"/>
  <c r="Z26" i="81"/>
  <c r="T26" i="81"/>
  <c r="C16" i="82" s="1"/>
  <c r="H26" i="81"/>
  <c r="X26" i="81" s="1"/>
  <c r="C36" i="85"/>
  <c r="G35" i="85"/>
  <c r="A34" i="24"/>
  <c r="O17" i="24"/>
  <c r="Y26" i="81"/>
  <c r="U26" i="81"/>
  <c r="L37" i="4"/>
  <c r="O36" i="4"/>
  <c r="K25" i="81" s="1"/>
  <c r="E33" i="85"/>
  <c r="C33" i="85" s="1"/>
  <c r="Y25" i="81"/>
  <c r="AB25" i="81" s="1"/>
  <c r="J37" i="4"/>
  <c r="H25" i="81"/>
  <c r="X25" i="81" s="1"/>
  <c r="F16" i="89"/>
  <c r="O25" i="81"/>
  <c r="G32" i="85" s="1"/>
  <c r="G30" i="85" s="1"/>
  <c r="F37" i="4"/>
  <c r="O37" i="4"/>
  <c r="C31" i="85"/>
  <c r="U25" i="81"/>
  <c r="T25" i="81"/>
  <c r="C15" i="82" s="1"/>
  <c r="C25" i="81"/>
  <c r="S25" i="81" s="1"/>
  <c r="AC25" i="81" s="1"/>
  <c r="Z25" i="81"/>
  <c r="E24" i="81"/>
  <c r="E26" i="85" s="1"/>
  <c r="H24" i="81"/>
  <c r="H26" i="25"/>
  <c r="A26" i="25"/>
  <c r="G26" i="25"/>
  <c r="C28" i="85"/>
  <c r="O21" i="25"/>
  <c r="F26" i="25"/>
  <c r="K26" i="25"/>
  <c r="T24" i="81"/>
  <c r="C14" i="82" s="1"/>
  <c r="V24" i="81"/>
  <c r="Y24" i="81"/>
  <c r="AD24" i="81" s="1"/>
  <c r="C26" i="85"/>
  <c r="P24" i="81"/>
  <c r="X24" i="81" s="1"/>
  <c r="F44" i="81"/>
  <c r="B10" i="79" s="1"/>
  <c r="G25" i="85"/>
  <c r="K22" i="14"/>
  <c r="J22" i="14"/>
  <c r="G22" i="14"/>
  <c r="L22" i="14"/>
  <c r="H22" i="14"/>
  <c r="Z23" i="81"/>
  <c r="A22" i="14"/>
  <c r="H23" i="81"/>
  <c r="C14" i="89"/>
  <c r="O21" i="14"/>
  <c r="K23" i="81" s="1"/>
  <c r="V23" i="81"/>
  <c r="C23" i="85"/>
  <c r="F22" i="14"/>
  <c r="O15" i="14"/>
  <c r="C23" i="81" s="1"/>
  <c r="T23" i="81"/>
  <c r="C13" i="82" s="1"/>
  <c r="P23" i="81"/>
  <c r="E14" i="89"/>
  <c r="Y23" i="81"/>
  <c r="E23" i="81"/>
  <c r="D22" i="81"/>
  <c r="H22" i="81" s="1"/>
  <c r="L30" i="9"/>
  <c r="J30" i="9"/>
  <c r="V22" i="81"/>
  <c r="K30" i="9"/>
  <c r="O23" i="9"/>
  <c r="C22" i="81" s="1"/>
  <c r="Y22" i="81"/>
  <c r="AD22" i="81" s="1"/>
  <c r="E18" i="85"/>
  <c r="C18" i="85" s="1"/>
  <c r="A30" i="9"/>
  <c r="E13" i="89"/>
  <c r="T22" i="81"/>
  <c r="C12" i="82" s="1"/>
  <c r="G30" i="9"/>
  <c r="F30" i="9"/>
  <c r="G15" i="85"/>
  <c r="E16" i="85"/>
  <c r="U22" i="81"/>
  <c r="P22" i="81"/>
  <c r="Z21" i="81"/>
  <c r="F24" i="80"/>
  <c r="P21" i="81"/>
  <c r="V21" i="81"/>
  <c r="O18" i="5"/>
  <c r="C21" i="81" s="1"/>
  <c r="E12" i="89"/>
  <c r="J24" i="80"/>
  <c r="H21" i="81"/>
  <c r="L23" i="5"/>
  <c r="F23" i="5"/>
  <c r="O22" i="5"/>
  <c r="K21" i="81" s="1"/>
  <c r="J23" i="5"/>
  <c r="Y21" i="81"/>
  <c r="AD21" i="81" s="1"/>
  <c r="E21" i="81"/>
  <c r="E11" i="85" s="1"/>
  <c r="C11" i="85" s="1"/>
  <c r="K23" i="5"/>
  <c r="G13" i="85"/>
  <c r="C13" i="85" s="1"/>
  <c r="T21" i="81"/>
  <c r="C11" i="82" s="1"/>
  <c r="C11" i="89"/>
  <c r="J23" i="80"/>
  <c r="E11" i="89"/>
  <c r="F32" i="19"/>
  <c r="L32" i="19"/>
  <c r="Z20" i="81"/>
  <c r="Q20" i="81"/>
  <c r="G8" i="85" s="1"/>
  <c r="C8" i="85" s="1"/>
  <c r="K32" i="19"/>
  <c r="H20" i="81"/>
  <c r="D11" i="89"/>
  <c r="F23" i="80"/>
  <c r="O27" i="19"/>
  <c r="P20" i="81"/>
  <c r="J44" i="81"/>
  <c r="T20" i="81"/>
  <c r="C10" i="82" s="1"/>
  <c r="V20" i="81"/>
  <c r="J32" i="19"/>
  <c r="M20" i="81"/>
  <c r="C38" i="81" l="1"/>
  <c r="O26" i="11"/>
  <c r="O39" i="18"/>
  <c r="T29" i="81"/>
  <c r="C19" i="82" s="1"/>
  <c r="D35" i="82"/>
  <c r="G14" i="81"/>
  <c r="C5" i="81"/>
  <c r="D15" i="82"/>
  <c r="X22" i="81"/>
  <c r="O20" i="71"/>
  <c r="C11" i="81"/>
  <c r="S10" i="81"/>
  <c r="G10" i="81"/>
  <c r="AB10" i="81"/>
  <c r="AD10" i="81"/>
  <c r="C161" i="85"/>
  <c r="AB7" i="81"/>
  <c r="AD7" i="81"/>
  <c r="C166" i="85"/>
  <c r="E165" i="85"/>
  <c r="C165" i="85" s="1"/>
  <c r="C169" i="85" s="1"/>
  <c r="AA7" i="81"/>
  <c r="D41" i="82"/>
  <c r="AC7" i="81"/>
  <c r="W7" i="81"/>
  <c r="E167" i="85"/>
  <c r="C167" i="85" s="1"/>
  <c r="O18" i="44"/>
  <c r="C18" i="81"/>
  <c r="AD18" i="81"/>
  <c r="G95" i="85"/>
  <c r="C96" i="85"/>
  <c r="AB17" i="81"/>
  <c r="D33" i="82"/>
  <c r="AC17" i="81"/>
  <c r="AA17" i="81"/>
  <c r="E130" i="85"/>
  <c r="C130" i="85" s="1"/>
  <c r="C134" i="85" s="1"/>
  <c r="C132" i="85"/>
  <c r="X16" i="81"/>
  <c r="T16" i="81"/>
  <c r="C26" i="82" s="1"/>
  <c r="K16" i="81"/>
  <c r="O25" i="73"/>
  <c r="E92" i="85"/>
  <c r="AD15" i="81"/>
  <c r="G15" i="81"/>
  <c r="S15" i="81"/>
  <c r="AB15" i="81" s="1"/>
  <c r="AB14" i="81"/>
  <c r="AD14" i="81"/>
  <c r="E142" i="85"/>
  <c r="C142" i="85" s="1"/>
  <c r="W14" i="81"/>
  <c r="C141" i="85"/>
  <c r="U44" i="81"/>
  <c r="X27" i="81"/>
  <c r="T27" i="81"/>
  <c r="C17" i="82" s="1"/>
  <c r="G13" i="81"/>
  <c r="E127" i="85" s="1"/>
  <c r="C127" i="85" s="1"/>
  <c r="E44" i="81"/>
  <c r="C10" i="79" s="1"/>
  <c r="C9" i="79" s="1"/>
  <c r="E126" i="85"/>
  <c r="C126" i="85" s="1"/>
  <c r="P44" i="81"/>
  <c r="B14" i="79" s="1"/>
  <c r="P53" i="45"/>
  <c r="T13" i="81"/>
  <c r="C37" i="82" s="1"/>
  <c r="X13" i="81"/>
  <c r="S13" i="81"/>
  <c r="AC13" i="81" s="1"/>
  <c r="V44" i="81"/>
  <c r="C128" i="85"/>
  <c r="Y13" i="81"/>
  <c r="AD13" i="81" s="1"/>
  <c r="I44" i="81"/>
  <c r="W13" i="81"/>
  <c r="B9" i="79"/>
  <c r="C153" i="85"/>
  <c r="X12" i="81"/>
  <c r="AA12" i="81"/>
  <c r="AC12" i="81"/>
  <c r="D38" i="82"/>
  <c r="E152" i="85"/>
  <c r="E150" i="85" s="1"/>
  <c r="W12" i="81"/>
  <c r="AD12" i="81"/>
  <c r="AB12" i="81"/>
  <c r="C151" i="85"/>
  <c r="O44" i="81"/>
  <c r="C14" i="79" s="1"/>
  <c r="G152" i="85"/>
  <c r="G150" i="85" s="1"/>
  <c r="X42" i="81"/>
  <c r="AD42" i="81"/>
  <c r="O22" i="7"/>
  <c r="C42" i="81"/>
  <c r="AC40" i="81"/>
  <c r="AA40" i="81"/>
  <c r="D30" i="82"/>
  <c r="C111" i="85"/>
  <c r="G110" i="85"/>
  <c r="W40" i="81"/>
  <c r="E112" i="85"/>
  <c r="P40" i="81"/>
  <c r="X40" i="81" s="1"/>
  <c r="T40" i="81"/>
  <c r="C30" i="82" s="1"/>
  <c r="AD40" i="81"/>
  <c r="AB40" i="81"/>
  <c r="AD38" i="81"/>
  <c r="C101" i="85"/>
  <c r="U36" i="81"/>
  <c r="E86" i="85"/>
  <c r="C36" i="81"/>
  <c r="O83" i="15"/>
  <c r="AD36" i="81"/>
  <c r="H36" i="81"/>
  <c r="X36" i="81" s="1"/>
  <c r="T36" i="81"/>
  <c r="C25" i="82" s="1"/>
  <c r="T35" i="81"/>
  <c r="C24" i="82" s="1"/>
  <c r="P35" i="81"/>
  <c r="X35" i="81" s="1"/>
  <c r="C35" i="81"/>
  <c r="O34" i="16"/>
  <c r="C76" i="85"/>
  <c r="W34" i="81"/>
  <c r="E77" i="85"/>
  <c r="C77" i="85" s="1"/>
  <c r="AD34" i="81"/>
  <c r="AB34" i="81"/>
  <c r="D23" i="82"/>
  <c r="AA34" i="81"/>
  <c r="AC34" i="81"/>
  <c r="X33" i="81"/>
  <c r="O59" i="35"/>
  <c r="W33" i="81"/>
  <c r="E72" i="85"/>
  <c r="AD33" i="81"/>
  <c r="AB33" i="81"/>
  <c r="AC33" i="81"/>
  <c r="D22" i="82"/>
  <c r="AA33" i="81"/>
  <c r="O31" i="81"/>
  <c r="G62" i="85" s="1"/>
  <c r="G60" i="85" s="1"/>
  <c r="S31" i="81"/>
  <c r="AA31" i="81"/>
  <c r="AC31" i="81"/>
  <c r="D21" i="82"/>
  <c r="T31" i="81"/>
  <c r="C21" i="82" s="1"/>
  <c r="H31" i="81"/>
  <c r="X31" i="81" s="1"/>
  <c r="W31" i="81"/>
  <c r="E62" i="85"/>
  <c r="D44" i="81"/>
  <c r="C4" i="82" s="1"/>
  <c r="AD31" i="81"/>
  <c r="AB31" i="81"/>
  <c r="X30" i="81"/>
  <c r="L44" i="81"/>
  <c r="C5" i="82" s="1"/>
  <c r="T30" i="81"/>
  <c r="C20" i="82" s="1"/>
  <c r="W30" i="81"/>
  <c r="E57" i="85"/>
  <c r="AD30" i="81"/>
  <c r="O55" i="20"/>
  <c r="S30" i="81"/>
  <c r="AB30" i="81" s="1"/>
  <c r="X29" i="81"/>
  <c r="C47" i="89"/>
  <c r="D4" i="89" s="1"/>
  <c r="O26" i="21"/>
  <c r="U29" i="81"/>
  <c r="E51" i="85"/>
  <c r="AD29" i="81"/>
  <c r="G50" i="85"/>
  <c r="G29" i="81"/>
  <c r="S29" i="81"/>
  <c r="C45" i="85"/>
  <c r="C49" i="85" s="1"/>
  <c r="AC28" i="81"/>
  <c r="C47" i="85"/>
  <c r="C46" i="85"/>
  <c r="AA28" i="81"/>
  <c r="W28" i="81"/>
  <c r="AB28" i="81"/>
  <c r="D47" i="89"/>
  <c r="E4" i="89" s="1"/>
  <c r="E6" i="89" s="1"/>
  <c r="O20" i="23"/>
  <c r="C27" i="81"/>
  <c r="AD27" i="81"/>
  <c r="C41" i="85"/>
  <c r="C26" i="81"/>
  <c r="O34" i="24"/>
  <c r="AD26" i="81"/>
  <c r="AD25" i="81"/>
  <c r="G25" i="81"/>
  <c r="AA25" i="81"/>
  <c r="U24" i="81"/>
  <c r="C24" i="81"/>
  <c r="O26" i="25"/>
  <c r="H44" i="81"/>
  <c r="B13" i="79" s="1"/>
  <c r="X23" i="81"/>
  <c r="O22" i="14"/>
  <c r="AD23" i="81"/>
  <c r="E21" i="85"/>
  <c r="G23" i="81"/>
  <c r="U23" i="81"/>
  <c r="O23" i="81"/>
  <c r="G22" i="85" s="1"/>
  <c r="G20" i="85" s="1"/>
  <c r="S23" i="81"/>
  <c r="O30" i="9"/>
  <c r="E47" i="89"/>
  <c r="D5" i="89" s="1"/>
  <c r="G22" i="81"/>
  <c r="S22" i="81"/>
  <c r="AC22" i="81" s="1"/>
  <c r="C16" i="85"/>
  <c r="U21" i="81"/>
  <c r="X21" i="81"/>
  <c r="G21" i="81"/>
  <c r="E12" i="85" s="1"/>
  <c r="E10" i="85" s="1"/>
  <c r="C10" i="85" s="1"/>
  <c r="C14" i="85" s="1"/>
  <c r="O23" i="5"/>
  <c r="S21" i="81"/>
  <c r="D11" i="82" s="1"/>
  <c r="O21" i="81"/>
  <c r="G12" i="85" s="1"/>
  <c r="G10" i="85" s="1"/>
  <c r="Y20" i="81"/>
  <c r="AD20" i="81" s="1"/>
  <c r="X20" i="81"/>
  <c r="O32" i="19"/>
  <c r="C20" i="81"/>
  <c r="G6" i="85"/>
  <c r="U20" i="81"/>
  <c r="O20" i="81"/>
  <c r="S38" i="81" l="1"/>
  <c r="G38" i="81"/>
  <c r="S5" i="81"/>
  <c r="G5" i="81"/>
  <c r="G44" i="81" s="1"/>
  <c r="C13" i="79" s="1"/>
  <c r="C12" i="79" s="1"/>
  <c r="S11" i="81"/>
  <c r="G11" i="81"/>
  <c r="W10" i="81"/>
  <c r="E162" i="85"/>
  <c r="AC10" i="81"/>
  <c r="AA10" i="81"/>
  <c r="D39" i="82"/>
  <c r="G18" i="81"/>
  <c r="S18" i="81"/>
  <c r="E90" i="85"/>
  <c r="O16" i="81"/>
  <c r="S16" i="81"/>
  <c r="E177" i="85"/>
  <c r="W15" i="81"/>
  <c r="AA15" i="81"/>
  <c r="AC15" i="81"/>
  <c r="D44" i="82"/>
  <c r="E140" i="85"/>
  <c r="C140" i="85" s="1"/>
  <c r="C144" i="85" s="1"/>
  <c r="E125" i="85"/>
  <c r="C125" i="85" s="1"/>
  <c r="C129" i="85" s="1"/>
  <c r="AA13" i="81"/>
  <c r="B12" i="79"/>
  <c r="B8" i="79" s="1"/>
  <c r="S44" i="81"/>
  <c r="X44" i="81"/>
  <c r="Y44" i="81"/>
  <c r="C15" i="79" s="1"/>
  <c r="AB13" i="81"/>
  <c r="F15" i="84" s="1"/>
  <c r="C150" i="85"/>
  <c r="C154" i="85" s="1"/>
  <c r="C152" i="85"/>
  <c r="G42" i="81"/>
  <c r="S42" i="81"/>
  <c r="E110" i="85"/>
  <c r="C110" i="85" s="1"/>
  <c r="C114" i="85" s="1"/>
  <c r="C112" i="85"/>
  <c r="C46" i="82"/>
  <c r="S36" i="81"/>
  <c r="G36" i="81"/>
  <c r="C86" i="85"/>
  <c r="G35" i="81"/>
  <c r="S35" i="81"/>
  <c r="E75" i="85"/>
  <c r="C75" i="85" s="1"/>
  <c r="C79" i="85" s="1"/>
  <c r="C6" i="82"/>
  <c r="C72" i="85"/>
  <c r="E70" i="85"/>
  <c r="C70" i="85" s="1"/>
  <c r="C74" i="85" s="1"/>
  <c r="E60" i="85"/>
  <c r="C60" i="85" s="1"/>
  <c r="C64" i="85" s="1"/>
  <c r="C62" i="85"/>
  <c r="T44" i="81"/>
  <c r="D6" i="89"/>
  <c r="AA30" i="81"/>
  <c r="AC30" i="81"/>
  <c r="D20" i="82"/>
  <c r="C57" i="85"/>
  <c r="E55" i="85"/>
  <c r="C55" i="85" s="1"/>
  <c r="C59" i="85" s="1"/>
  <c r="W29" i="81"/>
  <c r="E52" i="85"/>
  <c r="C52" i="85" s="1"/>
  <c r="AA29" i="81"/>
  <c r="AC29" i="81"/>
  <c r="D19" i="82"/>
  <c r="C51" i="85"/>
  <c r="AB29" i="81"/>
  <c r="F14" i="84" s="1"/>
  <c r="G27" i="81"/>
  <c r="S27" i="81"/>
  <c r="S26" i="81"/>
  <c r="G26" i="81"/>
  <c r="E32" i="85"/>
  <c r="W25" i="81"/>
  <c r="S24" i="81"/>
  <c r="G24" i="81"/>
  <c r="E22" i="85"/>
  <c r="C22" i="85" s="1"/>
  <c r="W23" i="81"/>
  <c r="AA23" i="81"/>
  <c r="D13" i="82"/>
  <c r="AC23" i="81"/>
  <c r="C21" i="85"/>
  <c r="AB23" i="81"/>
  <c r="F13" i="84" s="1"/>
  <c r="AA22" i="81"/>
  <c r="AB22" i="81"/>
  <c r="F12" i="84" s="1"/>
  <c r="D12" i="82"/>
  <c r="W22" i="81"/>
  <c r="E17" i="85"/>
  <c r="C12" i="85"/>
  <c r="AC21" i="81"/>
  <c r="AB21" i="81"/>
  <c r="W21" i="81"/>
  <c r="G20" i="81"/>
  <c r="E7" i="85" s="1"/>
  <c r="E5" i="85" s="1"/>
  <c r="C44" i="81"/>
  <c r="D4" i="82" s="1"/>
  <c r="D6" i="82" s="1"/>
  <c r="S20" i="81"/>
  <c r="C6" i="85"/>
  <c r="G7" i="85"/>
  <c r="W38" i="81" l="1"/>
  <c r="E102" i="85"/>
  <c r="D28" i="82"/>
  <c r="AB38" i="81"/>
  <c r="AA38" i="81"/>
  <c r="AC38" i="81"/>
  <c r="AC5" i="81"/>
  <c r="W5" i="81"/>
  <c r="W44" i="81" s="1"/>
  <c r="D9" i="82"/>
  <c r="E50" i="85"/>
  <c r="C50" i="85" s="1"/>
  <c r="C54" i="85" s="1"/>
  <c r="W11" i="81"/>
  <c r="E157" i="85"/>
  <c r="AC11" i="81"/>
  <c r="AA11" i="81"/>
  <c r="AB11" i="81"/>
  <c r="D40" i="82"/>
  <c r="C162" i="85"/>
  <c r="E160" i="85"/>
  <c r="C160" i="85" s="1"/>
  <c r="C164" i="85" s="1"/>
  <c r="AC18" i="81"/>
  <c r="D27" i="82"/>
  <c r="AA18" i="81"/>
  <c r="AB18" i="81"/>
  <c r="E97" i="85"/>
  <c r="W18" i="81"/>
  <c r="G92" i="85"/>
  <c r="W16" i="81"/>
  <c r="AA16" i="81"/>
  <c r="AC16" i="81"/>
  <c r="D26" i="82"/>
  <c r="AB16" i="81"/>
  <c r="C177" i="85"/>
  <c r="E175" i="85"/>
  <c r="C175" i="85" s="1"/>
  <c r="C179" i="85" s="1"/>
  <c r="AB44" i="81"/>
  <c r="F4" i="84"/>
  <c r="I4" i="84" s="1"/>
  <c r="D14" i="79"/>
  <c r="D13" i="79"/>
  <c r="C8" i="79"/>
  <c r="D15" i="79" s="1"/>
  <c r="AC42" i="81"/>
  <c r="AA42" i="81"/>
  <c r="D31" i="82"/>
  <c r="AB42" i="81"/>
  <c r="E117" i="85"/>
  <c r="W42" i="81"/>
  <c r="C48" i="82"/>
  <c r="D25" i="82"/>
  <c r="AA36" i="81"/>
  <c r="AC36" i="81"/>
  <c r="AB36" i="81"/>
  <c r="E87" i="85"/>
  <c r="W36" i="81"/>
  <c r="AC35" i="81"/>
  <c r="AA35" i="81"/>
  <c r="D24" i="82"/>
  <c r="AB35" i="81"/>
  <c r="E82" i="85"/>
  <c r="W35" i="81"/>
  <c r="AC27" i="81"/>
  <c r="AA27" i="81"/>
  <c r="D17" i="82"/>
  <c r="AB27" i="81"/>
  <c r="E42" i="85"/>
  <c r="W27" i="81"/>
  <c r="W26" i="81"/>
  <c r="E37" i="85"/>
  <c r="AC26" i="81"/>
  <c r="D16" i="82"/>
  <c r="AA26" i="81"/>
  <c r="AB26" i="81"/>
  <c r="E30" i="85"/>
  <c r="C30" i="85" s="1"/>
  <c r="C34" i="85" s="1"/>
  <c r="C32" i="85"/>
  <c r="E27" i="85"/>
  <c r="W24" i="81"/>
  <c r="D14" i="82"/>
  <c r="AA24" i="81"/>
  <c r="AB24" i="81"/>
  <c r="AC24" i="81"/>
  <c r="E20" i="85"/>
  <c r="C20" i="85" s="1"/>
  <c r="C24" i="85" s="1"/>
  <c r="C17" i="85"/>
  <c r="E15" i="85"/>
  <c r="C15" i="85" s="1"/>
  <c r="C19" i="85" s="1"/>
  <c r="W20" i="81"/>
  <c r="D10" i="82"/>
  <c r="AC20" i="81"/>
  <c r="AB20" i="81"/>
  <c r="C7" i="85"/>
  <c r="G5" i="85"/>
  <c r="C5" i="85" s="1"/>
  <c r="C102" i="85" l="1"/>
  <c r="E100" i="85"/>
  <c r="C100" i="85" s="1"/>
  <c r="C104" i="85" s="1"/>
  <c r="E155" i="85"/>
  <c r="C155" i="85" s="1"/>
  <c r="C159" i="85" s="1"/>
  <c r="C157" i="85"/>
  <c r="E95" i="85"/>
  <c r="C95" i="85" s="1"/>
  <c r="C99" i="85" s="1"/>
  <c r="C97" i="85"/>
  <c r="G90" i="85"/>
  <c r="C90" i="85" s="1"/>
  <c r="C94" i="85" s="1"/>
  <c r="C92" i="85"/>
  <c r="D9" i="79"/>
  <c r="D12" i="79"/>
  <c r="C117" i="85"/>
  <c r="E115" i="85"/>
  <c r="C115" i="85" s="1"/>
  <c r="C119" i="85" s="1"/>
  <c r="C87" i="85"/>
  <c r="E85" i="85"/>
  <c r="C85" i="85" s="1"/>
  <c r="C89" i="85" s="1"/>
  <c r="E80" i="85"/>
  <c r="C80" i="85" s="1"/>
  <c r="C84" i="85" s="1"/>
  <c r="C82" i="85"/>
  <c r="C42" i="85"/>
  <c r="E40" i="85"/>
  <c r="C40" i="85" s="1"/>
  <c r="C44" i="85" s="1"/>
  <c r="D46" i="82"/>
  <c r="D48" i="82" s="1"/>
  <c r="C37" i="85"/>
  <c r="E35" i="85"/>
  <c r="C35" i="85" s="1"/>
  <c r="C39" i="85" s="1"/>
  <c r="C27" i="85"/>
  <c r="E25" i="85"/>
  <c r="C25" i="85" s="1"/>
  <c r="C29" i="85" s="1"/>
  <c r="C9" i="85"/>
  <c r="D8" i="79" l="1"/>
  <c r="C189" i="85"/>
  <c r="G189" i="85" s="1"/>
  <c r="I189" i="85" s="1"/>
</calcChain>
</file>

<file path=xl/sharedStrings.xml><?xml version="1.0" encoding="utf-8"?>
<sst xmlns="http://schemas.openxmlformats.org/spreadsheetml/2006/main" count="3671" uniqueCount="686">
  <si>
    <t>ลำดับ</t>
  </si>
  <si>
    <t>หน่วย</t>
  </si>
  <si>
    <t>ครุภัณฑ์</t>
  </si>
  <si>
    <t>สิ่งก่อสร้าง</t>
  </si>
  <si>
    <t>รายการ</t>
  </si>
  <si>
    <t>วงเงิน</t>
  </si>
  <si>
    <t>บช.น.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</si>
  <si>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</si>
  <si>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</si>
  <si>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</si>
  <si>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</si>
  <si>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</si>
  <si>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</si>
  <si>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</si>
  <si>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</si>
  <si>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</si>
  <si>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ศชต.</t>
  </si>
  <si>
    <t>บช.ก.</t>
  </si>
  <si>
    <t>บช.ปส.</t>
  </si>
  <si>
    <t>บช.ส.</t>
  </si>
  <si>
    <t>สตม.</t>
  </si>
  <si>
    <t>บช.ตชด.</t>
  </si>
  <si>
    <t>สง.นรป.</t>
  </si>
  <si>
    <t>สพฐ.ตร.</t>
  </si>
  <si>
    <t>สทส.</t>
  </si>
  <si>
    <t>บช.ศ.</t>
  </si>
  <si>
    <t>รร.นรต.</t>
  </si>
  <si>
    <t>รพ.ตร.</t>
  </si>
  <si>
    <t>สยศ.ตร.</t>
  </si>
  <si>
    <t>สกบ.</t>
  </si>
  <si>
    <t>สกพ.</t>
  </si>
  <si>
    <t>สงป.</t>
  </si>
  <si>
    <t>กมค.</t>
  </si>
  <si>
    <t>สง.ก.ตร.</t>
  </si>
  <si>
    <t>จต.</t>
  </si>
  <si>
    <t>สตส.</t>
  </si>
  <si>
    <t>สลก.ตร.</t>
  </si>
  <si>
    <t>ตท.</t>
  </si>
  <si>
    <t>สท.</t>
  </si>
  <si>
    <t>สง.ก.ต.ช.</t>
  </si>
  <si>
    <t>บ.ตร</t>
  </si>
  <si>
    <t>วน.</t>
  </si>
  <si>
    <t>รวม</t>
  </si>
  <si>
    <t>แบบรายงานการจัดซื้อจัดจ้าง ครุภัณฑ์ที่ดินและสิ่งก่อสร้าง ปีงบประมาณ  2559</t>
  </si>
  <si>
    <t>หน่วยรายงานสำนักงานตำรวจแห่งชาติ</t>
  </si>
  <si>
    <t xml:space="preserve">รายงาน ณ :  </t>
  </si>
  <si>
    <t>หน่วยจัดหา</t>
  </si>
  <si>
    <t>ผลผลิต</t>
  </si>
  <si>
    <t>หน่วยได้รับ</t>
  </si>
  <si>
    <t>จำนวนเงิน (หน่วย : บาท)</t>
  </si>
  <si>
    <t>จัดซื้อ/สัญญา</t>
  </si>
  <si>
    <t>ผลเบิกจ่าย</t>
  </si>
  <si>
    <t>คงเหลือ(หลังเบิกจ่าย)</t>
  </si>
  <si>
    <t>ทำสัญญา</t>
  </si>
  <si>
    <t>เบิกจ่าย</t>
  </si>
  <si>
    <t>พ.ร.บ./จัดสรร</t>
  </si>
  <si>
    <t>จัดสรร (โอนเปลี่ยนแปลง)</t>
  </si>
  <si>
    <t>ตร.</t>
  </si>
  <si>
    <t>รวมครุภัณฑ์</t>
  </si>
  <si>
    <t>ที่ดินและสิ่งก่อสร้าง</t>
  </si>
  <si>
    <t>รวมที่ดินและสิ่งก่อสร้าง</t>
  </si>
  <si>
    <t>ครุ</t>
  </si>
  <si>
    <t>จำนวน</t>
  </si>
  <si>
    <t>สกส</t>
  </si>
  <si>
    <t>ยอดสุทธิ</t>
  </si>
  <si>
    <t>ทำสัญญาแล้ว</t>
  </si>
  <si>
    <t>ยังไม่ทำสัญญา</t>
  </si>
  <si>
    <t>เบิกจ่ายแล้ว</t>
  </si>
  <si>
    <t>คร</t>
  </si>
  <si>
    <t>2 M</t>
  </si>
  <si>
    <t>-</t>
  </si>
  <si>
    <t>รายงาน ณ :  25 พ.ย.58</t>
  </si>
  <si>
    <t>2M - 500M</t>
  </si>
  <si>
    <t>500 M</t>
  </si>
  <si>
    <t xml:space="preserve">ความก้าวหน้า/ปัญหา 
ประชุม (ระดับ ตร.) ครั้งที่ 1/59
วันที่ 6 พ.ย.58 </t>
  </si>
  <si>
    <t xml:space="preserve">ความก้าวหน้า/ปัญหา 
ประชุม (ระดับ ตร.) ครั้งที่ 2/59
วันที่ 4 ธ.ค.58 </t>
  </si>
  <si>
    <t>รปภ.(ก.ป้องกันฯ)</t>
  </si>
  <si>
    <t>เครื่องปรับอากาศ แบบแยกส่วน ชนิดตั้งพื้นหรือชนิดแขวน (มีระบบฟอกอากาศ) ขนาด 18,000 บีทียู จำนวน 76 เครื่อง</t>
  </si>
  <si>
    <t>เรือยนต์ตรวจการณ์ สน.ปากคลองสาน จำนวน 2 ลำ</t>
  </si>
  <si>
    <t>ไฟฉายสำหรับหน่วยปฏิบัติการพิเศษ สำหรับโครงการพัฒนาและปรับปรุงประสิทธิภาพด้านอาวุธยุทโธปกรณ์ กองกำกับการต่อต้านการก่อการร้าย จำนวน 147 กระบอก</t>
  </si>
  <si>
    <t>รปภ.(ก.เทคโนโลยีฯ)</t>
  </si>
  <si>
    <t>เครื่องคอมพิวเตอร์ สำหรับงานประมวลผล แบบที่ 2 (จอขนาดไม่น้อยกว่า 18.5 นิ้ว) จำนวน 50 เครื่อง</t>
  </si>
  <si>
    <t>เครื่องคอมพิวเตอร์ สำหรับงานประมวลผล แบบที่ 1 (จอขนาดไม่น้อยกว่า 18.5 นิ้ว) จำนวน 19 เครื่อง</t>
  </si>
  <si>
    <t>เครื่องคอมพิวเตอร์ สำหรับงานสำนักงาน (จอขนาดไม่น้อยกว่า 18.5 นิ้ว) จำนวน 48 เครื่อง</t>
  </si>
  <si>
    <t>เครื่องคอมพิวเตอร์โน๊ตบุ้ค สำหรับงานสำนักงาน จำนวน 12 เครื่อง</t>
  </si>
  <si>
    <t>เครื่องพิมพ์ชนิดเลเซอร์/ชนิด LED ขาวดำ (30หน้า/นาที) จำนวน 40 เครื่อง</t>
  </si>
  <si>
    <t>เครื่องพิมพ์ชนิดเลเซอร์/ชนิด LED สี แบบ Network จำนวน 9 เครื่อง</t>
  </si>
  <si>
    <t>เครื่องพิมพ์ชนิดเลเซอร์/ชนิด LED ขาวดำ แบบ Network แบบที่1 (35หน้า/นาที) จำนวน 14 เครื่อง</t>
  </si>
  <si>
    <t>เครื่องพิมพ์ชนิด Dot Matrix Printer แบบแคร่ยาว 1 เครื่อง</t>
  </si>
  <si>
    <t>เครื่องพิมพ์ชนิด Dot Matrix Printer แบบแคร่สั้น 1 เครื่อง</t>
  </si>
  <si>
    <t>รวมงบลงทุน(บช.น.)</t>
  </si>
  <si>
    <t>เครื่องคอมพิวเตอร์ สำหรับประมวลผล แบบที่ 1 (จอขนาดไม่น้อยกว่า 18.5 นิ้ว) จำนวน 78 เครื่อง</t>
  </si>
  <si>
    <t>เครื่องคอมพิวเตอร์โน๊ตบุ้ค สำหรับงานประมวลผล จำนวน 5 เครื่อง</t>
  </si>
  <si>
    <t>เครื่องพิมพ์เลเซอร์/ ชนิด LED สี แบบ Network จำนวน 56 เครื่อง</t>
  </si>
  <si>
    <t>รวมงบลงทุน(ภ.1)</t>
  </si>
  <si>
    <t>เครื่องคอมพิวเตอร์สำหรับงานประมวลผล แบบที่ 1 (จอขนาดไม่น้อยกว่า 18.5 นิ้ว) จำนวน 57 เครื่อง</t>
  </si>
  <si>
    <t>เครื่องคอมพิวเตอร์สำหรับงานประมวลผล แบบที่ 2 (จอขนาดไม่น้อยกว่า 18.5 นิ้ว) จำนวน 10 เครื่อง</t>
  </si>
  <si>
    <t>เครื่องพิมพ์ชนิดเลเซอร์/ชนิด LED ขาวดำ (30หน้า/นาที) จำนวน 114 เครื่อง</t>
  </si>
  <si>
    <t>อยธ.(ก.สืบสวนฯ)</t>
  </si>
  <si>
    <t>กล้องส่องทางไกลชนิด 2 ตา ขนาด 7*50 บก.สส.ภ.2 จำนวน 2 ตัว</t>
  </si>
  <si>
    <t>เครื่องรับส่งวิทยุ ระบบ VHF/FM ชนิดมือถือ แบบ Code Squelch พร้อมชุดไมโครโฟน ขนาดไม่น้อยกว่า 7 วัตต์ บก.สส.ภ.2 จำนวน 15 เครื่อง</t>
  </si>
  <si>
    <t>ชุดเข็มขัดและซองพกต่ำพร้อมอุปกรณ์สำหรับใส่ปืนพก บก.สส.ภ.2 จำนวน 15 ชุด</t>
  </si>
  <si>
    <t>ชุดโรยตัวพร้อมอุปกรณ์ขึ้นลงทางดิ่ง ความยาวไม่ต่ำกว่า 120 ฟุต บก.สส.ภ.2 จำนวน 5 ชุด</t>
  </si>
  <si>
    <t>เชือกรูดเร็ว Fast Rope พร้อมอุปกรณ์ติดตั้งเชือกรูดเร็ว บก.สส.ภ.2 จำนวน 2 เส้น</t>
  </si>
  <si>
    <t>เรือนแถวชั้นประทวนขนาด 10 คูหา แบบมีโรงจอดรถ และลานซักล้าง สภ.มาบตาพุด อ.เมือง จว.ระยอง  1 หลัง</t>
  </si>
  <si>
    <t>คลังพลาธิการ ภ.2 ต.หนองข้างคอก อ.เมือง จว.ชลบุรี  1 คลัง</t>
  </si>
  <si>
    <t>รวมงบลงทุน(ภ.2)</t>
  </si>
  <si>
    <t>รปภ.(ก.ผลิตและฝึกอบรม)</t>
  </si>
  <si>
    <t>อาคารที่ทำการ สภ.นาโพธิ์ ต.นาโพธิ์ อ.พิบูลย์มังสาหาร จว.อุบลราชธานี</t>
  </si>
  <si>
    <t>รปภ.(ก.ผลิตและฝึกอบรมฯ)</t>
  </si>
  <si>
    <t>อาคารโรงอาหาร ศฝร.ภ.3 ต. จอหอ อ. เมือง จว.นครราชสีมา จำนวน 2 หลัง</t>
  </si>
  <si>
    <t>รวมงบลงทุน(ภ.3)</t>
  </si>
  <si>
    <t>เครื่องคอมพิวเตอร์ สำหรับงานสำนักงาน (จอขนาดไม่น้อยกว่า 18.5 นิ้ว) จำนวน 75 เครื่อง</t>
  </si>
  <si>
    <t>เครื่องคอมพิวเตอร์ สำหรับงานประมวลผล แบบที่ 2 (จอขนาดไม่น้อยกว่า 18.5 นิ้ว) จำนวน 40 เครื่อง</t>
  </si>
  <si>
    <t>เครื่องคอมพิวเตอร์ สำหรับประมวลผลแบบที่ 1 (จอขนาดไม่น้อยกว่า 18.5 นิ้ว) จำนวน 58 เครื่อง</t>
  </si>
  <si>
    <t>เครื่องคอมพิวเตอร์โน๊คบุ้ค สำหรับประมวลผล (ขนาดไม่น้อยกว่า 12 นิ้ว) จำนวน 29 เครื่อง</t>
  </si>
  <si>
    <t xml:space="preserve">เครื่องพิมพ์ ชนิดเลเซอร์/ชนิด LED ขาวดำ (30หน้า/นาที) </t>
  </si>
  <si>
    <t>เครื่องสำรองไฟฟ้า ขนาด 1 KVA ของ ภ.4 จำนวน 137 เครื่อง</t>
  </si>
  <si>
    <t>22 พ.ค.57 รายงานขอซื้อ/ขอจ้าง/เสนอแต่งตั้งคณะกรรมการสอบราคา</t>
  </si>
  <si>
    <t>29 พ.ค.57 แต่งตั้งคณะกรรมการสอบราคา</t>
  </si>
  <si>
    <t>รวมงบลงทุน(ภ.4)</t>
  </si>
  <si>
    <t>ระบบผลิตไฟฟ้าด้วยพลังงานแสงอาทิตย์ ภ.5 ต.หนองหอย จว.เชียงใหม่ จำนวน 24 แห่ง</t>
  </si>
  <si>
    <t>ครุภัณฑ์ประจำอาคารที่ทำการ ภ.จว.พะเยา ต.บ้านต๋อม อ.เมือง จ.พะเยา</t>
  </si>
  <si>
    <t>เครื่องคอมพิวเตอร์ สำหรับงานประมวลผล แบบที่ 2 (จอขนาดไม่น้อยกว่า 18.5 นิ้ว) ของ ภ.5 ต.หนองหอย อ.เมือง จว.เชียงใหม่ จำนวน 30 เครื่อง</t>
  </si>
  <si>
    <t>เครื่องคอมพิวเตอร์โน๊ตบุ้ค สำหรับงานประมวลผล ของ ภ.5 ต.หนองหอย อ.เมือง จว.เชียงใหม่ จำนวน 35 เครื่อง</t>
  </si>
  <si>
    <t>เครื่องคอมพิวเตอร์แท็บเล็ต แบบที่ 1 ของ ภ.5 ต.หนองหอย อ.เมือง จว.เชียงใหม่ จำนวน 4 เครื่อง</t>
  </si>
  <si>
    <t>เครื่องคอมพิวเตอร์แม่ข่าย แบบที่ 2 ของ ภ.5 ต.หนองหอย อ.เมือง จว.เชียงใหม่ จำนวน 3 เครื่อง</t>
  </si>
  <si>
    <t>ซอฟแวร์ระบบงาน GIS ของ ภ.5 ต.หนองหอย อ.เมือง จว.เชียงใหม่ 1 ระบบ</t>
  </si>
  <si>
    <t>เครื่องคอมพิวเตอร์ สำหรับงานประมวลผล แบบที่ 1 (จอขนาดไม่น้อยกว่า 18.5 นิ้ว) ของ ภ.5 ต.หนองหอย อ.เมือง จว.เชียงใหม่ จำนวน 5 เครื่อง</t>
  </si>
  <si>
    <t>เครื่องคอมพิวเตอร์ สำหรับงานประมวลผล แบบที่ 1 (จอขนาดไม่น้อยกว่า 18.5 นิ้ว) ของ ภ.5 ต.หนองหอย อ.เมือง จว.เชียงใหม่ 1 เครื่อง</t>
  </si>
  <si>
    <t>เครื่องคอมพิวเตอร์ สำหรับงานประมวลผล แบบที่ 2 (จอขนาดไม่น้อยกว่า 18.5 นิ้ว) ของ ภ.5 ต.หนองหอย อ.เมือง จว.เชียงใหม่ 1 เครื่อง</t>
  </si>
  <si>
    <t>เครื่องคอมพิวเตอร์โน๊ตบุ้ค สำหรับงานสำนักงาน ของ ภ.5 ต.หนองหอย อ.เมือง จว.เชียงใหม่ จำนวน 5 เครื่อง</t>
  </si>
  <si>
    <t>เครื่องสำรองไฟฟ้า ขนาด 1 KVA ของ ภ.5 ต.หนองหอย อ.เมือง จว.เชียงใหม่ จำนวน 99 เครื่อง</t>
  </si>
  <si>
    <t>เครื่องสำรองไฟฟ้า ขนาด 2 KVA ของ ภ.5 ต.หนองหอย อ.เมือง จว.เชียงใหม่ จำนวน 8 เครื่อง</t>
  </si>
  <si>
    <t>อาคารที่ทำการ ภ.จว.เชียงใหม่ พร้อมส่วนประกอบ</t>
  </si>
  <si>
    <t>อาคารที่ทำการ ภ.จว.เชียงราย พร้อมส่วนประกอบ ต.ริมกก อ.เมือง จว.เชียงราย</t>
  </si>
  <si>
    <t>แฟลต 5 ชั้น ขนาด 30 ครอบครัว (ใต้ถุนสูง) บก.อก.ภ.5 ต.หนองหอย อ.เมือง จว.เชียงใหม่</t>
  </si>
  <si>
    <t xml:space="preserve">บ้านพักระดับ รอง ผบก.-ผกก.ภ.จว.เชียงใหม่ </t>
  </si>
  <si>
    <t>รวมงบลงทุน(ภ.5)</t>
  </si>
  <si>
    <t>ยาเสพติด (ก.สืบสวนฯ)</t>
  </si>
  <si>
    <t>ปส.</t>
  </si>
  <si>
    <t>รถบรรทุก (ดีเซล) ขนาด 1 ตัน ปริมาตรกระบอกสูบไม่ต่ำกว่า 2,400 ซีซี ขับเคลื่อน 4 ล้อ แบบดับเบิลแค็บ ของ ภ.6 ต.มะตูม อ.พรหมพิราม จ.พิษณุโลก จำนวน 9 คัน</t>
  </si>
  <si>
    <t>รถลากจูง 6 ล้อ พร้อมวิทยุอุปกรณ์สื่อสารไซเรน ภ.6 ต.มะตูม อ.พรหมพิราม จว.พิษณุโลก จำนวน 5 คัน</t>
  </si>
  <si>
    <t>เรือนแถวชั้นประทวนและพลตำรวจ สภ.ชาติตระการ จำนวน 3 หลัง ต.ป่าแดง อ.ชาติตระการ จว.พิษณุโลก จำนวน 3 หลัง</t>
  </si>
  <si>
    <t>แฟลต 5 ชั้น 50 ครอบครัว บก.สส.ภ.6จว.พิษณุโลก</t>
  </si>
  <si>
    <t>สนามฝึกยุทธวิธีตำรวจพร้อมอาคารเอนกประสงค์และสนามยิงปืน ภ.6 ต.มะตูม อ.พรหมพิราม จว.พิษณุโลก จำนวน 9 รายการ วงเงิน  75,000,000  บาท</t>
  </si>
  <si>
    <t xml:space="preserve"> 1. ลานตรวจพล 1 แห่ง</t>
  </si>
  <si>
    <t xml:space="preserve"> 2. อาคารที่ทำการกองร้อย 1 หลัง 1 แห่ง</t>
  </si>
  <si>
    <t xml:space="preserve"> 3. อาคารกองร้อย 1 แห่ง</t>
  </si>
  <si>
    <t xml:space="preserve"> 4. อาคารโรงยิมฯ 1 แห่ง</t>
  </si>
  <si>
    <t xml:space="preserve"> 5. สนามยิงปืน 25 หลา 1 แห่ง</t>
  </si>
  <si>
    <t xml:space="preserve"> 6. อาคารยิงปืน 100 หลา 1 แห่ง</t>
  </si>
  <si>
    <t xml:space="preserve"> 7. สถานีทดสอบความเชื่อมั่น 1 แห่ง</t>
  </si>
  <si>
    <t xml:space="preserve"> 8. หอโดด 1 แห่ง</t>
  </si>
  <si>
    <t xml:space="preserve"> 9. สนามฟุตบอล 1 แห่ง </t>
  </si>
  <si>
    <t>รวมงบลงทุน(ภ.6)</t>
  </si>
  <si>
    <t>เสื้อเกราะอ่อนป้องกันกระสุนระดับ 3A  ภ.7  ถ.ข้างวัง ต.พระปฐมเจดีย์ อ.เมือง จ.นครปฐม จำนวน 100 ตัว</t>
  </si>
  <si>
    <t>รวมงบลงทุน(ภ.7)</t>
  </si>
  <si>
    <t>เครื่องคอมพิวเตอร์แม่ข่าย แบบที่ 1 ของ ภ.8 ต.ท่าข้าม อ.พุนพิน จว.สุราษฎร์ธานี จำนวน 5 เครื่อง</t>
  </si>
  <si>
    <t>เครื่องคอมพิวเตอร์ สำหรับงานสำนักงาน (จอขนาดไม่น้อยกว่า 18.5 นิ้ว) ของ ภ.8 ต.ท่าข้าม อ.พุนพิน จว.สุราษฎร์ธานี จำนวน 50 เครื่อง</t>
  </si>
  <si>
    <t>เครื่องคอมพิวเตอร์ สำหรับงานประมวลผล แบบที่ 2 (จอขนาดไม่น้อยกว่า 18.5 นิ้ว) ของ ภ.8 ต.ท่าข้าม อ.พุนพิน จว.สุราษฎร์ธานี จำนวน 30 เครื่อง</t>
  </si>
  <si>
    <t>เครื่องคอมพิวเตอร์โน๊ตบุ้ค สำหรับงานประมวลผล ของ ภ.8 ต.ท่าข้าม อ.พุนพิน จว.สุราษฎร์ธานี จำนวน 59 เครื่อง</t>
  </si>
  <si>
    <t>เครื่องคอมพิวเตอร์โน๊ตบุ้ค สำหรับงานสำนักงาน ของ ภ.8 ต.ท่าข้าม อ.พุนพิน จว.สุราษฎร์ธานี จำนวน 60 เครื่อง</t>
  </si>
  <si>
    <t>เครื่องพิมพ์ Multifunction ชนิดเลเซอร์ / ชนิด LED สี ของ ภ.8 ต.ท่าข้าม อ.พุนพิน จว.สุราษฎร์ธานี จำนวน 60 เครื่อง</t>
  </si>
  <si>
    <t>เครื่องพิมพ์ชนิดเลเซอร์/ชนิด LED ขาวดำ (30หน้า/นาที) ของ ภ.8 ต.ท่าข้าม อ.พุนพิน จว.สุราษฎร์ธานี จำนวน 75 เครื่อง</t>
  </si>
  <si>
    <t>เครื่องพิมพ์ชนิดเลเซอร์/ชนิด LED ขาวดำ แบบ Network แบบที่ 1 (35หน้า/นาที) ของ ภ.8 ต.ท่าข้าม อ.พุนพิน จว.สุราษฎร์ธานี จำนวน 10 เครื่อง</t>
  </si>
  <si>
    <t>เครื่องคอมพิวเตอร์แท็บเล็ต แบบที่ 1 ของ ภ.8 ต.ท่าข้าม อ.พุนพิน จว.สุราษฎร์ธานี จำนวน 109 เครื่อง</t>
  </si>
  <si>
    <t>เครื่องคอมพิวเตอร์แท็บเล็ต แบบที่ 2 ของ ภ.8 ต.ท่าข้าม อ.พุนพิน จว.สุราษฎร์ธานี จำนวน 12 เครื่อง</t>
  </si>
  <si>
    <t>เครื่องสำรองไฟฟ้าขนาดไม่ต่ำกว่า 1 KVA ของ ภ.8 ต.ท่าข้าม อ.พุนพิน จว.สุราษฎร์ธานี 94 เครื่อง</t>
  </si>
  <si>
    <t>เครื่องสำรองไฟฟ้าขนาดไม่ต่ำกว่า 2 KVA ของ ภ.8 ต.ท่าข้าม อ.พุนพิน จว.สุราษฎร์ธานี 4 เครื่อง</t>
  </si>
  <si>
    <t>เรือนแถวชั้นประทวนและพลตำรวจ สภ.สาคู จว.ภูเก็ต จำนวน 2 หลัง</t>
  </si>
  <si>
    <t>เรือนแถวชั้นประทวนและพลตำรวจ บก.สส.ภ.8 ต.ไม้ขาว อ.ถลาง จว.ภูเก็ต จำนวน 27 หลัง</t>
  </si>
  <si>
    <t>อาคารที่ทำการ บก.สส.ภ.8 พร้อมส่วนประกอบ ต.ไม้ขาว อ.ถลาง จว.ภูเก็ต</t>
  </si>
  <si>
    <t>อาคารที่ทำการ สภ.คีรีรัฐนิคม ต.ท่าขนอน อ.คีรีรัฐนิคม จว.สุราษฎร์ธานี 1 หลัง</t>
  </si>
  <si>
    <t>รวมงบลงทุน(ภ.8)</t>
  </si>
  <si>
    <t>เรือยนต์ตรวจการณ์ ขนาด  20 - 30 ฟุต ภ.9 ต.บ่อยาง อ.เมือง จว.สงขลา 1 ลำ</t>
  </si>
  <si>
    <t>อยธ.(ก.เทคโนโลยีฯ)</t>
  </si>
  <si>
    <t>เครื่องคอมพิวเตอร์แม่ข่าย แบบที่ 2 ของ ภาค 9 (ก.สืบสวนฯ) ต.บ่อยาง อ.เมือง จว.สงขลา 1 เครื่อง</t>
  </si>
  <si>
    <t>แผงวงจรเครื่องคอมพิวเตอร์แม่ข่าย ชนิด Blade สำหรับตู้ Enclosure/Chassis แบบที่ 1 ของ ภาค 9 (ก.สืบสวน) ต.บ่อยาง อ.เมือง จ.สงขลา</t>
  </si>
  <si>
    <t>อุปกรณ์ป้องกันเครือข่าย (Firewall) แบบที่ 1 ของ ภาค 9 (ก.สืบสวน) ต.บ่อยาง อ.เมือง จ.สงขลา</t>
  </si>
  <si>
    <t>แฟลต ขนาด 30 ครอบครัว สูง 5 ชั้น ของ ภ.9 (ส่วนกลาง) ต.บ่อยาง อ.เมือง จว.สงขลา 1 หลัง</t>
  </si>
  <si>
    <t>เรือนแถวชั้นประทวนและพลตำรวจ 10 คูหา พร้อมส่วนประกอบ สภ.โคกชะงาย ต.โคกชะงาย อ.เมือง จว.พัทลุง 1 หลัง</t>
  </si>
  <si>
    <t>รวมงบลงทุน(ภ.9)</t>
  </si>
  <si>
    <t>โครงการเพิ่มประสิทธิภาพฯชายแดนใต้(ก.เทคโน)</t>
  </si>
  <si>
    <t>เครื่องคอมพิวเตอร์ สำหรับงานประมวลผล แบบที่ 2 (จอขนาดไม่น้อยกว่า 18.5 นิ้ว ) 53 ถ.สุขยางค์ ต.สะเตง อ.เมือง จ.ยะลา จำนวน 25 เครื่อง</t>
  </si>
  <si>
    <t>โครงการเพิ่มประสิทธิภาพฯชายแดนใต้</t>
  </si>
  <si>
    <t>รถยนต์หุ้มเกราะกันกระสุน ขับเคลื่อน 4 ล้อ สำหรับ ศชต. เลขที่ 53 ถ.สุขยางค์ ต.สะเตง อ.เมือง จ.ยะลา จำนวน 2 คัน</t>
  </si>
  <si>
    <t>รถยนต์หุ้มเกราะกันกระสุน ขับเคลื่อน 4 ล้อ สำหรับ ภ.จว.ยะลา เลขที่ 31 ถ.วงเวียน 2 ต.สะเตง อ.เมือง จ.ยะลา จำนวน 6 คัน</t>
  </si>
  <si>
    <t>รถยนต์หุ้มเกราะกันกระสุน ขับเคลื่อน 4 ล้อ สำหรับ ภ.จว.นราธิวาส เลขที่ 99/9 ม.8 ต.โคกเคียน อ.เมือง จ.นราธิวาส จำนวน 6 คัน</t>
  </si>
  <si>
    <t>รถยนต์หุ้มเกราะกันกระสุน ขับเคลื่อน 4 ล้อ สำหรับ ภ.จว.ปัตตานี เลขที่ 147 ต.บานา อ.เมือง จ.ปัตตานี จำนวน 6 คัน</t>
  </si>
  <si>
    <t>เสื้อเกราะอ่อนป้องกันกระสุน พร้อมแผ่นเกราะแข็ง (ทดแทน) สำหรับ ศชต. เลขที่ 53 ถ.สุขยางค์ ต.สะเตง อ.เมือง จ.ยะลา จำนวน 55 ตัว</t>
  </si>
  <si>
    <t>เครื่องคอมพิวเตอร์ตั้งโต๊ะ All in one ระบบไวด์สกรีน ขนาด 20 นิ้ว ของ ศชต. ต.สะเตง อ.เมือง จว.ยะลา จำนวน 15 เครื่อง</t>
  </si>
  <si>
    <t>เครื่องคอมพิวเตอร์โน๊ตบุ้ค สำหรับงานประมวลผล ของ ศชต. ต.สะเตง อ.เมือง จว.ยะลา จำนวน 6 เครื่อง</t>
  </si>
  <si>
    <t>เครื่องคอมพิวเตอร์ สำหรับงานประมวลผล แบบที่ 1 (จอขนาดไม่น้อยกว่า 18.5 นิ้ว) ของ ศชต. ต.สะเตง อ.เมือง จว.ยะลา จำนวน 30 เครื่อง</t>
  </si>
  <si>
    <t>เครื่องคอมพิวเตอร์โน๊ตบุ้ค สำหรับงานประมวลผล ของ ศชต. ต.สะเตง อ.เมือง จว.ยะลา จำนวน 9 เครื่อง</t>
  </si>
  <si>
    <t>เครื่องคอมพิวเตอร์โน้ตบุ้ค สำหรับงานประมวลผล ของ ศชต. (ก.สืบสวน) ต.สะเตง อ.เมือง จ.ยะลา จำนวน 16 เครื่อง</t>
  </si>
  <si>
    <t>กล้องมองตรวจการณ์เวลากลางคืน ศชต. ต.สะเตง อ.เมือง จว.ยะลา จำนวน 16 เครื่อง</t>
  </si>
  <si>
    <t xml:space="preserve">อาคารที่พักอาศัย (แฟลต)  สูง 5 ชั้น ขนาด 30 ครอบครัว สำหรับ ศชต. เลขที่ 53 ถ.สุขยางค์ ต.สะเตง อ.เมือง จ.ยะลา </t>
  </si>
  <si>
    <t xml:space="preserve">อาคารที่พักอาศัย (แฟลต)  สูง 5 ชั้น ขนาด 30 ครอบครัว สำหรับ สภ.ปะลุกาสาเมาะ เลขที่ 387 ม.6 ต.ปะลุกาสาเมาะ อ.บาเจาะ จ.นราธิวาส </t>
  </si>
  <si>
    <t xml:space="preserve">อาคารที่พักอาศัย (แฟลต)  สูง 5 ชั้น ขนาด 30 ครอบครัว สำหรับ สภ.ยี่งอ เลขที่ 14/10 ต.ยี่งอ อ.ยี่งอ จ.นราธิวาส </t>
  </si>
  <si>
    <t xml:space="preserve">อาคารที่พักอาศัย (แฟลต)  สูง 5 ชั้น ขนาด 30 ครอบครัว สำหรับ สภ.ศรีสาคร เลขที่ 154 หมู่ที่ 1 ต.ซากอ อ.ศรีสาคร จ.นราธิวาส </t>
  </si>
  <si>
    <t xml:space="preserve">อาคารที่พักอาศัย (แฟลต)  สูง 5 ชั้น ขนาด 30 ครอบครัว สำหรับ สภ.แม่หวาด เลขที่ 2 ซ.สันติราษฎร์ ต.แม่หวาด อ.ธารโต จ.ยะลา </t>
  </si>
  <si>
    <t>อาคารที่พักอาศัย (แฟลต)  สูง 5 ชั้น ขนาด 30 ครอบครัว สำหรับ กก.สส.ภ.จว.ยะลา ต.สะเตง อ.เมือง จ.ยะลา</t>
  </si>
  <si>
    <t>อาคารที่พักอาศัย (แฟลต)  สูง 5 ชั้น ขนาด 30 ครอบครัว สำหรับ ภ.จว.ปัตตานี เลขที่ 147 ถ.เกษมสำราญ ต.บานา อ.เมือง จ.ปัตตานี</t>
  </si>
  <si>
    <t xml:space="preserve">อาคารที่ทำการ ศฝร.ศชต. เลขที่ 53 ถ.สุขยางค์ ต.สะเตง อ.เมือง จ.ยะลา </t>
  </si>
  <si>
    <t xml:space="preserve">ก่อสร้างระบบประปาหอสูงขนาดกลางพร้อมระบบบ่อบาดาล สภ.กาบัง ม.5 ถ.ลาแล ต.กาบัง อ.กาบัง จ.ยะลา </t>
  </si>
  <si>
    <t xml:space="preserve">ก่อสร้างระบบประปาหอสูงขนาดใหญ่ ภ.จว.ยะลา และ สภ.เมืองยะลา เลขที่ 32 ถ.วงเวียน 2 ต.สะเตง อ.เมือง จ.ยะลา </t>
  </si>
  <si>
    <t xml:space="preserve">ก่อสร้างระบบประปาหอสูงขนาดกลาง สภ.อัยเยอร์เวง ต.อัยเยอร์เวง อ.เบตง จ.ยะลา </t>
  </si>
  <si>
    <t>ก่อสร้างระบบประปาหอสูงขนาดกลาง สภ.แม่หวาด เลขที่ 2 ซ.สันติราษฎร์ ต.แม่หวาด อ.ธารโต จ.ยะลา</t>
  </si>
  <si>
    <t xml:space="preserve">ก่อสร้างคูระบายน้ำ คสล.สภ.แม่หวาด เลขที่ 2 ซ.สันติราษฎร์ ต.แม่หวาด อ.ธารโต จ.ยะลา </t>
  </si>
  <si>
    <t xml:space="preserve">รั้วอาคารที่ทำการและที่พักอาศัย สภ.บันนังสตา เลขที่ 33 ถ.สุขยางค์ ต.บันนังสตา อ.บันนังสตา จ.ยะลา </t>
  </si>
  <si>
    <t xml:space="preserve">รั้วอาคารที่ทำการและที่พักอาศัย สภ.เมืองปัตตานี ม.6 ต.รูสะมิแล อ.เมือง จ.ปัตตานี </t>
  </si>
  <si>
    <t xml:space="preserve">รั้วอาคารที่ทำการและที่พักอาศัย สภ.สุไหงปาดี ม.14 ต.ปะลุรู อ.สุไหงปาดี จ.นราธิวาส </t>
  </si>
  <si>
    <t>รั้วอาคารที่ทำการและที่พักอาศัย สภ.สายบุรี เลขที่ 239/10 ถ.ท่าเสด็จ ต.ตะลุบัน อ.สายบุรี จ.ปัตตานี</t>
  </si>
  <si>
    <t>รั้วอาคารที่ทำการและที่พักอาศัย สภ.ยะหริ่ง ต.ยามู อ.ยะหริ่ง จ.ปัตตานี</t>
  </si>
  <si>
    <t>รั้วอาคารที่ทำการและที่พักอาศัย สภ.ยะรัง เลขที่ 27 ม.3 ต.ยะรัง อ.ยะรัง จ.ปัตตานี</t>
  </si>
  <si>
    <t>รั้วอาคารที่ทำการและที่พักอาศัย สภ.ไม้แก่น ม.4 ต.ไทรทอง อ.ไม้แก่น จ.ปัตตานี</t>
  </si>
  <si>
    <t>รั้วอาคารที่ทำการและที่พักอาศัย สภ.หนองจิก ต.ตุยง อ.หนองจิก จ.ปัตตานี</t>
  </si>
  <si>
    <t>รั้วอาคารที่ทำการและที่พักอาศัย สภ.ปะนาเระ ม.1 ต.ท่าข้าม อ.ปะนาเระ จ.ปัตตานี</t>
  </si>
  <si>
    <t>รั้วอาคารที่ทำการและที่พักอาศัย สภ.บ้านโสร่ง ต.เขาตูม อ.ยะรัง จ.ปัตตานี</t>
  </si>
  <si>
    <t>รวมงบลงทุน(ศชต.)</t>
  </si>
  <si>
    <t>ทท.</t>
  </si>
  <si>
    <t>รถบรรทุก (ดีเซล) ขนาด 1 ตัน ปริมาตรกระบอกสูบไม่ต่ำกว่า 2,400 ซีซี. ขับเคลื่อน 4 ล้อ  แบบดับเบิ้ลแค็บ พร้อมอุปกรณ์ แขวงวังใหม่ เขตปทุมวัน กทม. จำนวน 20 คัน</t>
  </si>
  <si>
    <t>รถจักรยานยนต์ ขนาดไม่ต่ำกว่า 145 ซีซี พร้อมอุปกรณ์ แขวงวังใหม่ เขตปทุมวัน กทม. จำนวน 90 คัน</t>
  </si>
  <si>
    <t>อุปกรณ์ช่วยเหลือนักท่องเที่ยวประจำรถยนต์และหน่วยงาน แขวงวังใหม่ เขตปทุมวัน กทม. จำนวน 30 ชุด</t>
  </si>
  <si>
    <t>ปปป.</t>
  </si>
  <si>
    <t>รถจักรยานยนต์ ขนาด 140 ซีซี. บก.ปปป. แขวงทุ่งสองห้อง เขตหลักสี่ กรุงเทพฯ จำนวน 2 คัน</t>
  </si>
  <si>
    <t>รสง.(ก.เขตน่านน้ำ)</t>
  </si>
  <si>
    <t>ค่าซ่อมใหญ่เรือตรวจการณ์</t>
  </si>
  <si>
    <t>ค่าซ่อมย่อยเรือตรวจการณ์</t>
  </si>
  <si>
    <t>การค้ามนุษย์(ก.ป้องกันฯ)</t>
  </si>
  <si>
    <t>กล้องดิจิตอล พร้อมเลนส์ซูม ปคม. แขวงทุ่งสองห้อง เขตหลักสี่ กทม. จำนวน 6 กล้อง</t>
  </si>
  <si>
    <t>กล้องบันทึกภาพ ติดตั้งภายในรถยนต์ ปคม. แขวงทุ่งสองห้อง เขตหลักสี่ กทม. จำนวน 12 กล้อง</t>
  </si>
  <si>
    <t>กล้องรูเข็มไร้สาย พร้อมเครื่องบันทึก ปคม. แขวงทุ่งสองห้อง เขตหลักสี่ กทม. จำนวน 25 กล้อง</t>
  </si>
  <si>
    <t>การค้ามนุษย์(ก.เทคโนโลยี)</t>
  </si>
  <si>
    <t xml:space="preserve">เครื่องคอมพิวเตอร์สำหรับงานประมวลผล แบบที่ 2 (จอขนาดไม่น้อยกว่า 18.5 นิ้ว) ปคม. แขวงทุ่งสองห้อง เขตหลักสี่ กทม. จำนวน 15 เครื่อง </t>
  </si>
  <si>
    <t>เครื่องคอมพิวเตอร์โน๊ตบุ๊ค สำหรับสำนักงาน ปคม.  แขวงทุ่งสองห้อง เขตหลักสี่ กทม. จำนวน 12 เครื่อง</t>
  </si>
  <si>
    <t>เครื่องสำรองไฟฟ้า ขนาด 1 KVA ปคม. แขวงทุ่งสองห้อง เขตหลักสี่ กทม. จำนวน 13 เครื่อง</t>
  </si>
  <si>
    <t>การกระทำผิดเกี่ยวกับทรัพยากรฯ(ก.การปราบปรามฯ)</t>
  </si>
  <si>
    <t>รถบรรทุก (ดีเซล) ขนาด 1 ตัน ปริมาตรกระบอกสูบไม่ต่ำกว่า 2,400 ซีซี ขับเคลื่อน 4 ล้อ (ปทส.) แขวงลาดยาว เขตจตุจักร กทม. จำนวน 12 คัน</t>
  </si>
  <si>
    <t>เครื่องคอมพิวเตอร์ สำหรับงานประมวลผล แบบที่ 1 บช.ก. แขวงวังใหม่ เขตปทุมวัน กทม. จำนวน 10 เครื่อง</t>
  </si>
  <si>
    <t>เครื่องคอมพิวเตอร์โน๊ตบุ๊ค สำหรับงานประมวลผล  บช.ก. แขวงวังใหม่ เขตปทุมวัน กทม. จำนวน 22 เครื่อง</t>
  </si>
  <si>
    <t>เครื่องคอมพิวเตอร์โน๊ตบุ๊ค สำหรับงานสำนักงาน  บช.ก. แขวงวังใหม่ เขตปทุมวัน กทม. จำนวน 8 เครื่อง</t>
  </si>
  <si>
    <t>เครื่องคอมพิวเตอร์ สำหรับงานสำนักงาน (จอขนาดไม่น้อยกว่า 18.5 นิ้ว) บช.ก. แขวงวังใหม่ เขตปทุมวัน กทม. จำนวน 20 เครื่อง</t>
  </si>
  <si>
    <t>เครื่องคอมพิวเตอร์แม่ข่าย แบบที่ 1 บช.ก.แขวงวังใหม่ เขตปทุมวัน กทม. 1 เครื่อง</t>
  </si>
  <si>
    <t>เครื่องพิมพ์ชนิดเลเซอร์ LED ขาวดำ (30 หน้า/นาที) บช.ก. แขวงวังใหม่ เขตปทุมวัน กทม. จำนวน 10 เครื่อง</t>
  </si>
  <si>
    <t>คอมพิวเตอร์แท็บเล็ต บช.ก. แขวงวังใหม่ เขตปทุมวัน กทม. จำนวน 20 เครื่อง</t>
  </si>
  <si>
    <t>รถบรรทุก (ดีเซล) ขนาด 1 ตัน ปริมาตรกระบอกสูบไม่ต่ำกว่า 2,400 ซีซี ขับเคลื่อน 4 ล้อ แบบดับเบิ้ลแค็บ บช.ก. อาคาร 8 แขวงวังใหม่ เขตปทุมวัน กทม. จำนวน 4 คัน</t>
  </si>
  <si>
    <t>รถนั่งส่วนกลาง ปริมาตรกระบอกสูบไม่เกิน 1,600 ซีซี. บช.ก. อาคาร 8 แขวงวังใหม่ เขตปทุมวัน กทม. จำนวน 2 คัน</t>
  </si>
  <si>
    <t>บก.รน.</t>
  </si>
  <si>
    <t>ค่าปรับปรุงซ่อมแซมอาคารแฟลตบ้านพักข้าราชการตำรวจน้ำ ถ.สุขสวัสดิ์ ต.ปากคลองบางปลากด อ.พระสมุทรเจดีย์ จ.สมุทรปราการ จำนวน 5 หลัง</t>
  </si>
  <si>
    <t>รวมงบลงทุน(บช.ก.)</t>
  </si>
  <si>
    <t xml:space="preserve">ความก้าวหน้า/ปัญหา 
ประชุม ครั้งที่ 
วันที่ </t>
  </si>
  <si>
    <t>รน.</t>
  </si>
  <si>
    <t>รวมงบลงทุน(รน.)</t>
  </si>
  <si>
    <t>500 M +</t>
  </si>
  <si>
    <t>ยาเสพติด (ก.เทคโนโลยี)</t>
  </si>
  <si>
    <t>แผงวงจรเครื่องคอมพิวเตอร์แม่ข่าย ชนิด Blade สำหรับตู้ Enclosure/Chassis แบบที่ 2 1 เครื่อง</t>
  </si>
  <si>
    <t>รถบรรทุก (ดีเซล) ขนาด 1 ตัน ขับเคลื่อน 4 ล้อแบบดับเบิ้ลแค็บกันกระสุน ด้านสืบสวนปราบปรามยาเสพติด จำนวน 2 คัน</t>
  </si>
  <si>
    <t>รถจู่โจมหน่วยปฏิบัติการพิเศษ จำนวน 2 คัน</t>
  </si>
  <si>
    <t>ปืนพกสั้น จำนวน 116 กระบอก</t>
  </si>
  <si>
    <t>อาวุธปืนยาวอัตโนมัติ ขนาด 5.56 มม. จำนวน 100 กระบอก</t>
  </si>
  <si>
    <t>ปืนไรเฟิลสำหรับชุดจู่โจมพร้อมกล้องช่วยเล็งระยะไกล จำนวน 4 กระบอก</t>
  </si>
  <si>
    <t>ชุดเสริมประสิทธิภาพปืน M4 จำนวน 40 ชุด</t>
  </si>
  <si>
    <t>เสื้อเกราะอ่อนป้องกันกระสุนระดับ 3A จำนวน 440 ตัว</t>
  </si>
  <si>
    <t xml:space="preserve">ครุภัณฑ์เครื่องมือสืบสวนพิเศษ บช.ปส.กรุงเทพฯ  จำนวน 7 รายการ วงเงิน  20,270,000  บาท </t>
  </si>
  <si>
    <t xml:space="preserve">2. อากาศยานไร้คนขับ (UAV) และกล้องพร้อมระบบส่งสัญญาณภาพ </t>
  </si>
  <si>
    <t xml:space="preserve">3. กล้อง Night Vision ใช้กับอากาศยานไร้คนขับ </t>
  </si>
  <si>
    <t xml:space="preserve">4. กล้องตรวจการณ์ในเวลากลางคืน แบบประจำการณ์และพกพา Station Night Vision </t>
  </si>
  <si>
    <t>ชุดเข้าถึงข้อมูลข่าวสารอิเล็กทรอนิกส์ แบบ 2 1 ชุด</t>
  </si>
  <si>
    <t>เครื่องเอ็กซเรย์ตรวจค้นยาเสพติด จำนวน 3 เครื่อง</t>
  </si>
  <si>
    <t>กล้องตรวจจับรังสีความร้อน Thermal จำนวน 3 กล้อง</t>
  </si>
  <si>
    <t>เครื่องตัดสัญญาณคลื่น Jammer จำนวน 3 เครื่อง</t>
  </si>
  <si>
    <t>รวมงบลงทุน(ปส.)</t>
  </si>
  <si>
    <t>ส.</t>
  </si>
  <si>
    <t>รสง.(ก.เทคโนโลยี)</t>
  </si>
  <si>
    <t>โครงการปรับปรุงการเดินสายเครือข่ายภายใน (LAN)</t>
  </si>
  <si>
    <t>รสง.(ก.ด้านการข่าว)</t>
  </si>
  <si>
    <t>เครื่องปรับอากาศ ชนิดติดผนัง ( มีระบบฟอกอากาศ ) ขนาด 18000 บีทียู จำนวน 40 เครื่อง</t>
  </si>
  <si>
    <t xml:space="preserve">โครงการเพิ่มประสิทธิภาพงานด้านข่าวกรอง 1 โครงการ  </t>
  </si>
  <si>
    <t>โครงการเพิ่มประสิทธิภาพชุดปฏิบัติการรักษาความปลอดภัย 1 โครงการ</t>
  </si>
  <si>
    <t>ก่อสร้างอาคารสนามยิงปืนพกสั้น 14 ช่องยิง</t>
  </si>
  <si>
    <t>ก่อสร้างอาคารหอพัก 26 ห้องนอน พร้อมส่วนประกอบ แขวงทุ่งสองห้อง เขตหลักสี่ กรุงเทพฯ</t>
  </si>
  <si>
    <t>แฟลต 5 ชั้น ขนาด 30 ครอบครัว (ใต้ถุนสูง) พร้อมส่วนประกอบ แขวงทุ่งสองห้อง เขตหลักสี่ กรุงเทพฯ</t>
  </si>
  <si>
    <t>รวมงบลงทุน(ส.)</t>
  </si>
  <si>
    <t>ลักลอบหลบหนีเข้าเมืองฯ(ก.การตรวจบุคคลฯ)</t>
  </si>
  <si>
    <t>อาคารเรือนแถวชั้นประทวนและพลตำรวจ 10 คูหา (แบบตอกเสาเข็ม) พร้อมส่วนประกอบ ด่าน ตม.เชียงแสน (ต.เวียง อ.เชียงแสน จ.เชียงราย) จำนวน 2 หลัง</t>
  </si>
  <si>
    <t>อาคารที่พักอาศัย (แฟลต) ขนาด 30 ครอบครัว สูง 5 ชั้น พร้อมส่วนประกอบ ตม.จว.สระแก้ว (ต.อรัญประเทศ อ.อรัญประเทศ)</t>
  </si>
  <si>
    <t>อาคารที่พักอาศัย (แฟลต) ขนาด 30 ครอบครัว สูง 3 ชั้น ไม่มีใต้ถุน พร้อมส่วนประกอบ บก.ตม.5 (ต.ดอนแก้ว อ.แม่ริม จ.เชียงใหม่)</t>
  </si>
  <si>
    <t>อาคารที่พักอาศัย (แฟลต) ขนาด 50 ครอบครัว สูง 5 ชั้น ไม่มีใต้ถุน  พร้อมส่วนประกอบ ตม.จว.หนองคาย (ต.มีชัย อ.เมือง)</t>
  </si>
  <si>
    <t>อาคารที่พักอาศัย (แฟลต) ขนาด 30 ครอบครัว สูง 5 ชั้น พร้อมส่วนประกอบ ตม.จว.จันทบุรี (ต.ทับไทร อ.โปร่งน้ำร้อน)</t>
  </si>
  <si>
    <t>อาคารที่ทำการ พร้อมส่วนประกอบ ตม.จว.ปทุมธานี (ต.สวนพริกไทย อ.เมือง)</t>
  </si>
  <si>
    <t>อาคารที่ทำการ พร้อมส่วนประกอบ บก.ตม.4  ต.สำราญ  อ.เมือง จ.ขอนแก่น</t>
  </si>
  <si>
    <t>อาคารที่ทำการ พร้อมส่วนประกอบ ตม.จว.ประจวบคีรีขันธ์ (ต.ทับใต้ อ.หัวหิน)</t>
  </si>
  <si>
    <t>.</t>
  </si>
  <si>
    <t>รวมงบลงทุน(สตม.)</t>
  </si>
  <si>
    <t>ตชด.</t>
  </si>
  <si>
    <t>โครงการ AEC</t>
  </si>
  <si>
    <t>โครงการจัดหาระบบควบคุม ติดตาม สั่งการ (C4I) การปฏิบัติภารกิจเฝ้าระวังรักษาความสงบเรียบร้อยในพื้นที่ชายแดน เพื่อรองรับการเข้าสู่ประชาคมอาเซียนปี 2558 (ระยะที่ 2) ปีงบประมาณ 2559 1 โครงการ</t>
  </si>
  <si>
    <t>โครงการจัดหาระบบโทรคมนาคมสำหรับที่บังคับการทางยุทธวิธีเคลื่อนที่พร้อมรถยนต์ เพื่อการบริหารจัดการชายแดน รองรับประชาคมอาเซียน 1 โครงการ</t>
  </si>
  <si>
    <t>ถปภ.</t>
  </si>
  <si>
    <t>รถบรรทุกน้ำดับเพลิง ขนาด 4,000 ลิตร และบรรจุโฟม 300 ลิตร พร้อมหัวฉีด 1 คัน</t>
  </si>
  <si>
    <t>รถบรรทุกเครื่องกำเนิดไฟฟ้าส่องสว่าง ขนาด 30-35 กิโลวัตต์ 1 คัน</t>
  </si>
  <si>
    <t>รสง.(ก.เทนโนโลยี)</t>
  </si>
  <si>
    <t>เครื่องคอมพิวเตอร์ สำหรับงานประมวลผล แบบที่ 2 (จอขนาดไม่น้อยกว่า 18.5 นิ้ว) จำนวน 11 เครื่อง</t>
  </si>
  <si>
    <t>เครื่องคอมพิวเตอร์สำหรับงานประมวลผล แบบที่ 1(จอขนาดไม่น้อยกว่า 18.5 นิ้ว) จำนวน 9 เครื่อง</t>
  </si>
  <si>
    <t>เครื่องสำรองไฟ ขนาด 2 KVA จำนวน 15 เครื่อง</t>
  </si>
  <si>
    <t>เครื่องพิมพ์ชนิดเลเซอร์/ชนิด LED สีแบบ Netword จำนวน 51 เครื่อง</t>
  </si>
  <si>
    <t>รสง.(ก.เฝ้าระวัง)</t>
  </si>
  <si>
    <t>รถบรรทุก (ดีเซล) ขนาด 1 ตัน ขับเคลื่อน 4 ล้อ แบบดับเบิ้ลแค็บ กก.ตชด.12 ต.บ้านใหม่หนองไทร อ.อรัญประเทศ จ.สระแก้ว 1 คัน</t>
  </si>
  <si>
    <t>รถบรรทุก (ดีเซล) ขนาด 1 ตัน ขับเคลื่อน 4 ล้อ แบบดับเบิ้ลแค็บ กก.ตชด.13 ต.หนองโรง อ.พนมทวน จ.กาญจนบุรี 1 คัน</t>
  </si>
  <si>
    <t>รถบรรทุก (ดีเซล) ขนาด 1 ตัน ขับเคลื่อน 4 ล้อ แบบดับเบิ้ลแค็บ กก.ตชด.14 ต.ห้วยทราย อ.เมือง จ.ประจวบคีรีขันธ์ 1 คัน</t>
  </si>
  <si>
    <t>รถบรรทุก (ดีเซล) ขนาด 1 ตัน ขับเคลื่อน 4 ล้อ แบบดับเบิ้ลแค็บ กก.ตชด.21 ต.เฉนียง อ.เมือง จ.สุรินทร์ 1 คัน</t>
  </si>
  <si>
    <t>รถบรรทุก (ดีเซล) ขนาด 1 ตัน ขับเคลื่อน 4 ล้อ แบบดับเบิ้ลแค็บ กก.ตชด.22 ต.ในเมือง อ.เมือง จ.อุบลราชธานี 1 คัน</t>
  </si>
  <si>
    <t>รถบรรทุก (ดีเซล) ขนาด 1 ตัน ขับเคลื่อน 4 ล้อ แบบดับเบิ้ลแค็บ กก.ตชด.23 ต.ธาตุเชิงชุม อ.เมือง จ.สกลนคร 1 คัน</t>
  </si>
  <si>
    <t>รถบรรทุก (ดีเซล) ขนาด 1 ตัน ขับเคลื่อน 4 ล้อ แบบดับเบิ้ลแค็บ กก.ตชด.31 ต.ท่าทอง อ.เมือง จ.พิษณุโลก 1 คัน</t>
  </si>
  <si>
    <t>รถบรรทุก (ดีเซล) ขนาด 1 ตัน ขับเคลื่อน 4 ล้อ แบบดับเบิ้ลแค็บ กก.ตชด.44 ต.บุดี อ.เมือง จ.ยะลา 1 คัน</t>
  </si>
  <si>
    <t>รถบรรทุก (ดีเซล) ขนาด 1 ตัน ขับเคลื่อน 4 ล้อ แบบมีช่องว่างด้านหลังคนขับ (CAB) บก.ตชด.ภาค1 ต.คลองห้า อ.คลองหลวง จ.ปทุมธานี 1 คัน</t>
  </si>
  <si>
    <t>รถบรรทุก (ดีเซล) ขนาด 1 ตัน ขับเคลื่อน 4 ล้อ แบบมีช่องว่างด้านหลังคนขับ (CAB) บก.ตชด.ภาค3 ต.ริมใต้ อ.เแม่ริม จ.เชียงใหม่ 1 คัน</t>
  </si>
  <si>
    <t>รถบรรทุก (ดีเซล) ขนาด 1 ตัน ขับเคลื่อน 2 ล้อ แบบดับเบิ้ลแค็บ กก.ตชด.11 ต.มะขาม อ.มะขาม จ.จันทบุรี 1 คัน</t>
  </si>
  <si>
    <t>รถบรรทุก (ดีเซล) ขนาด 1 ตัน ขับเคลื่อน 2 ล้อ แบบดับเบิ้ลแค็บ กก.4 บก.กฝ.บช.ตชด. ต.หนองบัว อ.เมือง จ.อุดรธานี 1 คัน</t>
  </si>
  <si>
    <t>รถบรรทุก (ดีเซล) ขนาด 1 ตัน ขับเคลื่อน 2 ล้อ แบบดับเบิ้ลแค็บ กก.8 บก.กฝ.บช.ตชด. ต.ถ้ำใหญ่ อ.ทุ่งสง จ.นครศรีธรรมราช 1 คัน</t>
  </si>
  <si>
    <t>รถบรรทุก (ดีเซล) ขนาด 6 ตัน 6 ล้อ แบบบรรทุกน้ำ กก.ตชด.12 จ.สระแก้ว 1 คัน</t>
  </si>
  <si>
    <t>รถบรรทุก (ดีเซล) ขนาด 6 ตัน 6 ล้อ แบบบรรทุกน้ำ กก.ตชด.13 จ.กาญจนบุรี 1 คัน</t>
  </si>
  <si>
    <t>รถบรรทุก (ดีเซล) ขนาด 6 ตัน 6 ล้อ แบบบรรทุกน้ำ กก.ตชด.32 จ.พะเยา 1 คัน</t>
  </si>
  <si>
    <t>รถบรรทุก (ดีเซล) ขนาด 6 ตัน 6 ล้อ แบบบรรทุกน้ำ กก.ตชด.43 จ.สงขลา 1 คัน</t>
  </si>
  <si>
    <t>สุนัขสงคราม เพื่อภารกิจตรวจค้นยาเสพติด, ตรวจค้นวัตถุระเบิด และสะกดรอย จำนวน 20 ตัว</t>
  </si>
  <si>
    <t>หมวกกันกระสุน จำนวน 2,000 ใบ</t>
  </si>
  <si>
    <t>โครงการจัดตั้งศูนย์ภาษา และวัฒนธรรมอาเซียน กก.5 บก.กฝ. บช.ตชด. ต.อินทขิล อ.แม่แตง จว.เชียงใหม่ 1 โครงการ</t>
  </si>
  <si>
    <t>เรือนแถวชั้นประทวน ขนาด 10 คูหา กองร้อย ตชด.336 ต.ปางหมู อ.เมือง จว.แม่ฮ่องสอน 1 หลัง</t>
  </si>
  <si>
    <t>เรือนแถวชั้นประทวน ขนาด 10 คูหา กก.ตชด.22 ต.ในเมือง อ.เมือง จว.อุบลราชธานี 1 หลัง</t>
  </si>
  <si>
    <t>เรือนแถวชั้นประทวน ขนาด 10 คูหา กองร้อย ตชด.136 ต.ลุ่มสุ่ม อ.ไทรโยค จว.กาญจนบุรี 1 หลัง</t>
  </si>
  <si>
    <t>เรือนแถวชั้นประทวน ขนาด 10 คูหา กองร้อย ตชด.145 ต.เขาน้อย อ.ปราณบุรี จว.ประจวบคีรีขันธ์ 1 หลัง</t>
  </si>
  <si>
    <t>เรือนแถวชั้นประทวน ขนาด 10 คูหา กองร้อย ตชด.146 ต.คลองวาฬ อ.เมือง จว.ประจวบคีรีขันธ์ 1 หลัง</t>
  </si>
  <si>
    <t>เรือนแถวชั้นประทวน ขนาด 10 คูหา กองร้อย ตชด.414 ต.หงษ์เจริญ อ.ท่าแซะ จว.ชุมพร 1 หลัง</t>
  </si>
  <si>
    <t>เรือนแถวชั้นประทวน ขนาด 10 คูหา กก.ตชด.13  ต.หนองโรง อ.พนมทวน จว.กาญจนบุรี 1 หลัง</t>
  </si>
  <si>
    <t>เรือนแถวชั้นประทวน ขนาด 10 คูหา กองร้อย ตชด.134 ต.หนองลู อ.สังขละบุรี จว.กาญจนบุรี 1 หลัง</t>
  </si>
  <si>
    <t>บ้านพักระดับ รอง ผบ.มว./รอง สว. กองร้อย ตชด.234 ต.คำอาฮวน อ.เมือง จว.มุกดาหาร 1 หลัง</t>
  </si>
  <si>
    <t>บ้านพักระดับ รอง ผบ.มว./รอง สว. กองร้อย ตชด.336 ต.ปางหมู อ.เมือง จว.แม่ฮ่องสอน 1 หลัง</t>
  </si>
  <si>
    <t>บ้านพักระดับ รอง ผบ.มว./รอง สว. กก.ตชด.22 ต.ในเมือง อ.เมือง จว.อุบลราชธานี 1 หลัง</t>
  </si>
  <si>
    <t>บ้านพักระดับ รอง ผบ.มว./รอง สว. กก.4 บก.กฝ.ฯ ต.หนองบัว อ.เมือง จว.อุดรธานี 1 หลัง</t>
  </si>
  <si>
    <t>บ้านพักระดับ รอง ผบ.มว./รอง สว. กองร้อย ตชด.134 ต.หนองลู อ.สังขละบุรี จว.กาญจนบุรี 1 หลัง</t>
  </si>
  <si>
    <t>บ้านพักระดับ รอง ผบ.มว./รอง สว. กองร้อย ตชด.136 ต.ลุ่มสุ่ม อ.ไทรโยค จว.กาญจนบุรี 1 หลัง</t>
  </si>
  <si>
    <t>บ้านพักระดับ รอง ผบ.มว./รอง สว. กองร้อย ตชด.414 ต.หงษ์เจริญ อ.ท่าแซะ จว.ชุมพร 1 หลัง</t>
  </si>
  <si>
    <t>บ้านพักระดับ รอง ผบ.มว./รอง สว. กก.ตชด.13 ต.หนองโรง อ.พนมทวน จว.กาญจนบุรี 1 หลัง</t>
  </si>
  <si>
    <t>บ้านพักระดับ รอง ผบ.มว./รอง สว. ศฝส.บก.กฝ.ฯ ต.ชะอำ อ.ชะอำ จว.เพชรบุรี 1 หลัง</t>
  </si>
  <si>
    <t>บ้านพักระดับ รอง ผบ.มว./รอง สว. ศอพ.บช.ตชด. ต.สามพระยา อ.ชะอำ จว.เพชรบุรี 1 หลัง</t>
  </si>
  <si>
    <t>บ้านพักระดับ ผบ.ร้อย/สว. กองร้อย ตชด.136 ต.ลุ่มสุ่ม อ.ไทรโยค จว.กาญจนบุรี 1 หลัง</t>
  </si>
  <si>
    <t>บ้านพักระดับ ผบ.ร้อย/สว. กองร้อย ตชด.234 ต.คำอาฮวน อ.เมือง จว.มุกดาหาร 1 หลัง</t>
  </si>
  <si>
    <t>บ้านพักระดับ ผบ.ร้อย/สว. กองร้อย ตชด.244 ต.แสนสำราญ อ.บึงกาฬ จว.บึงกาฬ 1 หลัง</t>
  </si>
  <si>
    <t>บ้านพักระดับ ผบ.ร้อย/สว. กองร้อย ตชด.246 ต.เชียงคาน อ.เชียงคาน จว.เลย 1 หลัง</t>
  </si>
  <si>
    <t>บ้านพักระดับ ผบ.ร้อย/สว. กองร้อย ตชด.417 ต.มะขามเตี้ย อ.เมือง จว.สุราษฎร์ธานี 1 หลัง</t>
  </si>
  <si>
    <t>บ้านพักระดับ ผบ.ร้อย/สว. กก.ตชด.13 ต.หนองโรง อ.พนมทวน จว.กาญจนบุรี 1 หลัง</t>
  </si>
  <si>
    <t>บ้านพักระดับ ผบ.ร้อย/สว. กก.ตชด.22 ต.ในเมือง อ.เมือง จว.อุบลราชธานี 1 หลัง</t>
  </si>
  <si>
    <t>บ้านพักระดับ ผบ.ร้อย/สว. ศฝส.บก.กฝ.ฯ ต.ชะอำ อ.ชะอำ จว.เพชรบุรี 1 หลัง</t>
  </si>
  <si>
    <t>แฟลต 5 ชั้น ขนาด 30 ครอบครัว (ใต้ถุนสูง) กก.ตชด.44 หมู่บ้านบุดี ตำบลบุดี อ.เมือง จ.ยะลา 1 หลัง</t>
  </si>
  <si>
    <t>อาคารที่ทำการ บก.ตชด.ภาค 3 (ผูกพันเดิมปี 2558 = 6,000,000 บาท ,ปี 2559 = 20,000,000 บาท ,ปี 25560 = 4,000,000 บาท) 1 หลัง</t>
  </si>
  <si>
    <t>อาคารที่ทำการ ระดับกองร้อย  กองร้อย ตชด.214  ต.บ้านชบ อ.สังขะ จ.สุรินทร์ 1 หลัง</t>
  </si>
  <si>
    <t>อาคารที่ทำการ ระดับกองร้อย กองร้อย ตชด.135 ต.ทองผาภูมิ อ.ทองผาภูมิ จ.กาญจนบุรี 1 หลัง</t>
  </si>
  <si>
    <t>อาคารคลังพลาธิการ กองร้อย ตชด.217 ต.กังแอน  อ.ปราสาท จ.สุรินทร์ 1 หลัง</t>
  </si>
  <si>
    <t>อาคารคลังพลาธิการ กองร้อย ตชด.314 ต.นาหน่ำ อ.ฟากท่า จ.อุตรดิตถ์ 1 หลัง</t>
  </si>
  <si>
    <t>อาคารคลังพลาธิการ กองร้อย ตชด.337 ต.แม่สะเรียง อ.แม่สะเรียง  จ.แม่ฮ่องสอน 1 หลัง</t>
  </si>
  <si>
    <t>ระบบประปา  กองร้อย ตชด.21 ต.เฉนียง อ.เมือง จ.สุรินทร์ 1 ระบบ</t>
  </si>
  <si>
    <t>ปรับปรุงท่อเมนระบบประปาภายใน กก.ตชด.22 ต.ในเมือง อ.ในเมือง จ.อุบลราชธานี 1 ระบบ</t>
  </si>
  <si>
    <t>ปรับปรุงระบบประปา ระยะ 282 เมตร บก.สอ.บช.ตชด. ต.ชะอำ อ.ชะอำ จ.เพชรบุรี 1 ระบบ</t>
  </si>
  <si>
    <t>ระบบส่งน้ำประปาภูเขา ระยะ 4.5 กม. กองร้อย ตชด.335 ต.ทุ่งข้าวพวง อ.เชียงดาว จ.เชียงใหม่ 1 ระบบ</t>
  </si>
  <si>
    <t>ระบบประปา บก.ตชด.ภาค 3 ต.อินทขิล อ.แม่แตง จ.เชียงใหม่ 1 ระบบ</t>
  </si>
  <si>
    <t>ระบบไฟฟ้า ขยายเขตระบบไฟฟ้าภายใน กองร้อย ตชด.222 ต.ในเมือง อ.ในเมือง จ.อุบลราชธานี 1 ระบบ</t>
  </si>
  <si>
    <t>รปภ.(ก.บริหารจัดการ)</t>
  </si>
  <si>
    <t>โครงการศูนย์ฝึกอบรมพัฒนาบุคลากรและสวัสดิการสำนักงานตำรวจแห่งชาติ ระยะที่ 2 อ.ชะอำ จ.เพชรบุรี (ผูกพันใหม่ ปี 59)</t>
  </si>
  <si>
    <t>รวมงบลงทุน(ตชด.)</t>
  </si>
  <si>
    <t>รถบัสโดยสารขนาดเล็ก 21 ที่นั่ง แบบปรับอากาศ  (นรป.) สนามเสือป่า แขวงจิตรลดา เขตดุสิต กรุงเทพฯ 1 คัน</t>
  </si>
  <si>
    <t>รวมงบลงทุน(สง.นรป.)</t>
  </si>
  <si>
    <t>เครื่อง GC/MS อ.เมือง จ.สุราษฎร์ธานี 1 เครื่อง</t>
  </si>
  <si>
    <t>เครื่องตรวจพิสูจน์ยาเสพติด GAS Chromatograph อ.เมือง จ.เชียงราย 1 เครื่อง</t>
  </si>
  <si>
    <t>เครื่องตรวจพิสูจน์ยาเสพติด GAS Chromatograph อ.เมือง จ.สุราษฎร์ธานี 1 เครื่อง</t>
  </si>
  <si>
    <t>อยธ.(ก.การตรวจพิสูจน์ฯ)</t>
  </si>
  <si>
    <t>แว่นขยายสำหรับตรวจลายนิ้วมือ จำนวนร 11 อัน</t>
  </si>
  <si>
    <t>เครื่องตรวจพิสูจน์เปรียบเทียบลายนิ้วมือและฝ่ามือพร้อมเครื่องอ่านลายนิ้วมือ อ.เมือง จ.ลำปาง 1 ชุด</t>
  </si>
  <si>
    <t>โครงการพัฒนาเพิ่มประสิทธิภาพงานตรวจพิสูจน์หลักฐานทางชีววิทยาและ DNA อ.เมือง จ.ลำปาง 1 โครงการ</t>
  </si>
  <si>
    <t>เครื่องตรวจพิสูจน์เปรียบเทียบลายนิ้วมือและฝ่ามือพร้อมเครื่องอ่านลายนิ้วมือ อ.เมือง จ.สุราษฎร์ธานี 1 ชุด</t>
  </si>
  <si>
    <t>อยธ.(ก.การตรวจพิสูจน์)</t>
  </si>
  <si>
    <t>โครงการก่อสร้างอาคารที่ทำการ พฐ.จว.น่าน พร้อมส่วนประกอบ ต.ไชยสถาน อ.เมือง จ.น่าน 1 หลัง</t>
  </si>
  <si>
    <t>โครงการก่อสร้างอาคารที่ทำการ ศูนย์พิสูจน์หลักฐาน 8 (จว.สุราษฎร์ธานี) พร้อมค่าถมที่ดินและส่วนประกอบ 1 หลัง</t>
  </si>
  <si>
    <t>โครงการก่อสร้างอาคารที่ทำการพิสูจน์หลักฐานจังหวัดตราด พร้อมส่วนประกอบ ต.วังกระแจะ อ.เมือง จ.ตราด 1 หลัง</t>
  </si>
  <si>
    <t>รวมงบลงทุน(สพฐ.ตร.)</t>
  </si>
  <si>
    <t>เครื่องคอมพิวเตอร์ สำหรับงานสำนักงาน (จอขนาดไม่น้อยกว่า 18.5 นิ้ว) สทส. แขวงวังใหม่ เขตปทุมวัน กรุงเทพมหานคร จำนวน 23 เครื่อง</t>
  </si>
  <si>
    <t>เครื่องคอมพิวเตอร์โน้ตบุ้ค สำหรับงานประมวลผล แขวงวังใหม่ เขตปทุมวัน กรุงเทพฯ จำนวน 8 เครื่อง</t>
  </si>
  <si>
    <t>เครื่องพิมพ์ชนิดเลเซอร์/ชนิด LED ขาวดำ (30 หน้า/นาที) สทส. แขวงวังใหม่ เขตปทุมวัน กรุงเทพมหานคร จำนวน 4 เครื่อง</t>
  </si>
  <si>
    <t>เครื่องพิมพ์ชนิดเลเซอร์/ชนิด LED ขาวดำ แบบ Network แบบที่ 1(35 หน้า/นาที) สทส. แขวงวังใหม่ เขตปทุมวัน กรุงเทพมหานคร</t>
  </si>
  <si>
    <t>โครงการพัฒนาระบบการตรวจสอบช่องโหว่ ของระบบเทคโนโลยีสารสนเทศ ตร. สทส. แขวงวังใหม่ เขตปทุมวัน กรุงเทพมหานคร 1 โครงการ</t>
  </si>
  <si>
    <t>เครื่องคอมพิวเตอร์ สำหรับงานประมวลผล แบบที่ 2 ของ สทส.(ก.เทคโนโลยีสารสนเทศและการสื่อสาร) แขวงวังใหม่ เขตปทุมวัน กรุงเทพฯ จำนวน 10 เครื่อง</t>
  </si>
  <si>
    <t>โครงการพัฒนาการเชื่อมต่อระบบเครือข่ายคอมพิวเตอร์ภายในรถยนต์สายตรวจ สทส. แขวงวังใหม่ เขตปทุมวัน กรุงเทพมหานคร</t>
  </si>
  <si>
    <t>โครงการจัดหาเครื่องสำรองไฟฟ้าสำรองสำหรับห้องคอมพิวเตอร์แม่ข่าย ตร. อาคาร 33 ชั้น 4 สทส. แขวงวังใหม่ เขตปทุมวัน กรุงเทพมหานคร</t>
  </si>
  <si>
    <t>โครงการพัฒนาระบบการป้องกันภัยคุกคามสำหรับระบบเครือข่ายอินเทอร์เน็ต ตร. (Firewall and Network Solution) สทส. แขวงวังใหม่ เขตปทุมวัน กรุงเทพมหานคร</t>
  </si>
  <si>
    <t>โครงการพัฒนาเทคโนโลยีสารสนเทศสถานีตำรวจ (CRIMES) ระยะที่ 2 (ส่วนที่ 2) สทส. แขวงวังใหม่ เขตปทุมวัน กรุงเทพมหานคร</t>
  </si>
  <si>
    <t>อาคารเรือนแถวชั้นประทวน 10 คูหา สทส. แขวงวังใหม่ เขตปทุมวัน กรุงเทพมหานคร จำนวน 2 หลัง</t>
  </si>
  <si>
    <t>สร้างอาคารที่ทำการ (ฝสส.3 สส.,ฝสส.4 สส.ฝสส.7สส.) สทส. แขวงวังใหม่ เขตปทุมวัน กรุงเทพมหานคร จำนวน 3 หลัง</t>
  </si>
  <si>
    <t>รวมงบลงทุน(สทส.)</t>
  </si>
  <si>
    <t xml:space="preserve">ครุภัณฑ์ศูนย์ฝึกอบรมหนองสาหร่าย จว.นครราชสีมา </t>
  </si>
  <si>
    <t>อุปกรณ์ป้องกันเครือข่าย (Firewall) แบบที่ 1 1 เครื่อง</t>
  </si>
  <si>
    <t>อุปกรณ์กระจายสัญญาณ (L2 Switch) ขนาด 24 ช่อง แบบที่ 1 จำนวน 3 เครื่อง</t>
  </si>
  <si>
    <t>เครื่องคอมพิวเตอร์ สำหรับงานประมวลผล แบบที่ 2) (จอขนาดไม่น้อยกว่า 18.5 นิ้ว) ต.หนองสาหร่าย อ.ปากช่อง จว.นครราชสีมา จำนวน 30 เครื่อง</t>
  </si>
  <si>
    <t>เครื่องพิมพ์แบบฉีดหมึก สำหรับกระดาษขนาด A3  ต.หนองสาหร่าย อ.ปากช่อง จว.นครราชสีมา จำนวน 2 เครื่อง</t>
  </si>
  <si>
    <t>เครื่องพิมพ์ชนิดเลเซอร์/ชนิด LED ขาวดำ (30 หน้า/นาที) ต.หนองสาหร่าย อ.ปากช่อง จว.นครราชสีมา จำนวน 7 เครื่อง</t>
  </si>
  <si>
    <t>เครื่องพิมพ์ชนิดเลเซอร์/ชนิด LED ขาวดำ แบบ Network แบบที่ 2 (40 หน้า/นาที) ต.หนองสาหร่าย อ.ปากช่อง จว.นครราชสีมา 1 เครื่อง</t>
  </si>
  <si>
    <t>เครื่องพิมพ์ชนิดเลเซอร์/ชนิด LED สี แบบ Network ต.หนองสาหร่าย อ.ปากช่อง จว.นครราชสีมา 1 เครื่อง</t>
  </si>
  <si>
    <t>เครื่องพิมพ์ Multifunction ชนิดเลเซอร์/ชนิด LED สี ต.หนองสาหร่าย อ.ปากช่อง จว.นครราชสีมา จำนวน 12 เครื่อง</t>
  </si>
  <si>
    <t>สแกนเนอร์ สำหรับงานเก็บเอกสารระดับศูนย์บริการ แบบที่ 2 ต.หนองสาหร่าย อ.ปากช่อง จว.นครราชสีมา 1 เครื่อง</t>
  </si>
  <si>
    <t>เครื่องสำรองไฟ ขนาด 1 KVA ต.หนองสาหร่าย อ.ปากช่อง จว.นครราชสีมา จำนวน 62 เครื่อง</t>
  </si>
  <si>
    <t>เครื่องคอมพิวเตอร์ สำหรับงานประมวลผล แบบที่ 1 (จอขนาดไม่น้อยกว่า 18.5 นิ้ว) ต.หนองสาหร่าย อ.ปากช่อง จว.นครราชสีมา จำนวน 5 เครื่อง</t>
  </si>
  <si>
    <t>เครื่องคอมพิวเตอร์โน้ตบุ้ค สำหรับงานประมวลผล ต.หนองสาหร่าย อ.ปากช่อง จว.นครราชสีมา จำนวน 11 เครื่อง</t>
  </si>
  <si>
    <t>โครงการก่อสร้างอาคารที่ทำการและสิ่งก่อสร้างประกอบ ศูนย์ฝึกอบรมหนองสาหร่าย ต. หนองสาหร่าย อ. ปากช่อง จว.นครราชสีมา จำนวน 8 รายการ วงเงิน  254,000,000 บาท</t>
  </si>
  <si>
    <t>1. ระบบสาธารณูปโภค</t>
  </si>
  <si>
    <t>2. ค่าปรับปรุงภูมิทัศน์ ศูนย์ฝึกอบรมหนองสาหร่าย จว.นครราชสีมา</t>
  </si>
  <si>
    <t>3. บ้านพักครูฝึก (บ้านเดี่ยว)</t>
  </si>
  <si>
    <t>4. เมืองจำลองสถานการณ์</t>
  </si>
  <si>
    <t>5. อาคารหอพัก 3 ชั้น</t>
  </si>
  <si>
    <t>6. อาคารฝึกยิงปืนทางยุทธวิธีในร่ม ระยะ 100 เมตร</t>
  </si>
  <si>
    <t>7. ศูนย์เทคโนโลยีสารสนเทศ</t>
  </si>
  <si>
    <t>8. หอเกียรติยศ</t>
  </si>
  <si>
    <t>รวมงบลงทุน(บช.ศ.)</t>
  </si>
  <si>
    <t>โครงการปรับปรุงระบบเทคโนโลยีของคณะตำรวจศาสตร์  1 โครงการ</t>
  </si>
  <si>
    <t>โครงการพัฒนาจัดตั้งศูนย์การตรวจวัตถุพยานทางวิทยาศาสตร์ คณะนิติวิทยาศาสตร์ 1 โครงการ</t>
  </si>
  <si>
    <t>เครื่องคอมพิวเตอร์โน้ตบุ้ค สำหรับงานสำนักงาน 1 เครื่อง</t>
  </si>
  <si>
    <t>เครื่องพิมพ์ชนิดเลเซอร์/ชนิด LED สี แบบ Network จำนวน 2 เครื่อง</t>
  </si>
  <si>
    <t>เครื่องพิมพ์ชนิดเลเซอร์/ชนิด LED ขาวดำ (25 หน้า/นาที) จำนวน 2 เครื่อง</t>
  </si>
  <si>
    <t>เครื่องคอมพิวเตอร์ สำหรับงานสำนักงาน (จอขนาดไม่น้อยกว่า 18.5 นิ้ว) จำนวน 3 เครื่อง</t>
  </si>
  <si>
    <t>รวมงบลงทุน(รร.นรต.)</t>
  </si>
  <si>
    <t>บริการสุขภาพ(ก.การตรวจรักษาทางการแพทย์)</t>
  </si>
  <si>
    <t>รถไฟฟ้าสำหรับขนส่งอาหาร จำนวน 9 คัน</t>
  </si>
  <si>
    <t>เตียงไม้แบบเตี้ย และแบบสูง จำนวน 6 เตียง</t>
  </si>
  <si>
    <t>ราวสำหรับฝึกเดินแบบคู่ขนาน รพ.ตร.(ศชต.) ต.สะเตง อ.เมือง จ.ยะลา 1 ชุด</t>
  </si>
  <si>
    <t>เครื่องตรวจ ตา หู ชนิดชาร์ตไฟ รพ.ตร.(ศชต.) ต.สะเตง อ.เมือง จ.ยะลา จำนวน 3 เครื่อง</t>
  </si>
  <si>
    <t>รอกออกกำลังกายเหนือศรีษะ รพ.ตร.(ศชต.) ต.สะเตง อ.เมือง จ.ยะลา 1 ชุด</t>
  </si>
  <si>
    <t xml:space="preserve"> </t>
  </si>
  <si>
    <t>รวมงบลงทุน(รพ.ตร.)</t>
  </si>
  <si>
    <t>จราจรฯ(ก.การปฏิบัติการฯ)</t>
  </si>
  <si>
    <t>เครื่องตรวจวัดแอลกอฮอล์ในเลือดจากลมหายใจชนิดพกพา แขวงวังใหม่ เขตปทุมวัน กรุงเทพฯ จำนวน 610 เครื่อง</t>
  </si>
  <si>
    <t>เครื่องคอมพิวเตอร์ สำหรับงานสำนักงาน (จอขนาดไม่น้อยกว่า 18.5 นิ้ว)จำนวน 47 เครื่อง ของ กิจกรรมการชุมชนและมวลชนสัมพันธ์ สำนักงานตำรวจแห่งชาติ แขวงวังใหม่ เขตปทุมวัน กรุงเทพมหานคร จำนวน 47 เครื่อง</t>
  </si>
  <si>
    <t>เครื่องพิมชนิดเลเซอร์/ชนิด LED ขาวดำ (30 หน้า/นาที) จำนวน 37 เครื่อง ของกิจกรรมการชุมชนและมวลชนสัมพันธ์ สำนักงานตำรวจแห่งชาติ แขวงวังใหม่ เขตปทุมวัน กรุงเทพมหานคร จำนวน 37 เครื่อง</t>
  </si>
  <si>
    <t>รวมงบลงทุน(สยศ.ตร.)</t>
  </si>
  <si>
    <t>รถตู้โดยสารขนส่งกำลังพล และเครื่องมือ สกบ.(สพ.) จำนวน 1 คัน</t>
  </si>
  <si>
    <t>โครงการปรับปรุงศูนย์ฝึกอบรมคอมพิวเตอร์ 1 โครงการ</t>
  </si>
  <si>
    <t>เครื่องพิมพ์ สำหรับกลุ่มงานสถาปนิกและวิศวกร ของกองโยธาธิการ สี/ขาว-ดำ ขนาด A1 (ไม่ช้ากว่า 35 วินาที/แผ่น) จำนวน 3 เครื่อง</t>
  </si>
  <si>
    <t>โครงการพัฒนาระบบคลังพัสดุและระบบฐานข้อมูล</t>
  </si>
  <si>
    <t>ระบบจัดเก็บข้อมูลแบบรูปรายการทางอิเล็กทรอนิกส์ สำหรับกลุ่มงานสถาปนิกและวิศวกร</t>
  </si>
  <si>
    <t>ชุดโต๊ะประชุม ประกอบด้วยโต๊ะ ขนาด 1.50*0.60 จำนวน 6 ตัว เก้าอี้ 16 ตัว</t>
  </si>
  <si>
    <t>เครื่องโทรสารแบบใช้กระดาษธรรมดา ส่งเอกสารได้ครั้งละ 20 แผ่น จำนวน 2 เครื่อง</t>
  </si>
  <si>
    <t>รถบรรทุก (ดีเซล) ขนาด 1 ตัน ปริมาตรกระบอกสูบไม่ต่ำกว่า 2,400 ซีซี. ขับเคลื่อน 4 ล้อ แบบดับเบิ้ลแค็บ (ทดแทน) จำนวน 2 คัน</t>
  </si>
  <si>
    <t>โครงการจัดหาอาวุธปืนให้กับผู้สำเร็จการศึกษาใหม่ (นรต.และนสต.) จำนวน 7910 ชุด</t>
  </si>
  <si>
    <t>พธ.</t>
  </si>
  <si>
    <r>
      <t xml:space="preserve">โครงการจัดหาอากาศยานช่วยเหลือทางการแพทย์เพื่อเพิ่มประสิทธิภาพด้านความปลอดภัยนักท่องเที่ยว </t>
    </r>
    <r>
      <rPr>
        <b/>
        <sz val="14"/>
        <color indexed="8"/>
        <rFont val="TH SarabunPSK"/>
        <family val="2"/>
      </rPr>
      <t>(ผูกพันเดิม  ปี 2558 = 120,000,000 บาท , ปี 2559 = 560,000,000 บาท , ปี 2560 = 120,000,000 บาท) จำนวน 2 ลำ</t>
    </r>
  </si>
  <si>
    <t>บตร.โอนให้ พธ.จัดหา</t>
  </si>
  <si>
    <t>บ.ตร.</t>
  </si>
  <si>
    <t>โครงการเพิ่มประสิทธิภาพกลุ่มงานเก็บกู้และตรวจพิสูจน์วัตถุระเบิด (บช.น.) จำนวน 6 รายการ วงเงิน 39,010,000 บาท</t>
  </si>
  <si>
    <t>บช.น..โอนให้ พธ.จัดหา</t>
  </si>
  <si>
    <t xml:space="preserve"> 1. เสื้อเกราะอ่อนป้องกันกระสุนพร้อมแผ่นเกราะแข็ง</t>
  </si>
  <si>
    <t>บช.น..โอนให้ สกบ.จัดหา</t>
  </si>
  <si>
    <t xml:space="preserve"> 2. หุ่นยนต์เก็บกู้วัตถุระเบิด</t>
  </si>
  <si>
    <t xml:space="preserve"> 3. เครื่องเอกซเรย์ตรวจหาอาวุธและวัตถุระเบิด</t>
  </si>
  <si>
    <t xml:space="preserve"> 4. เครื่องตรวจค้นหาวงจรอิเล็กทรอนิกส์ </t>
  </si>
  <si>
    <t xml:space="preserve"> 5. เครื่องตรวจโลหะแบบประตู</t>
  </si>
  <si>
    <t xml:space="preserve"> 6. หมวกกันกระสุนระดับ 3 เอ</t>
  </si>
  <si>
    <t>ผ้าห่มคลุมระเบิด บก.สส.ภ.2 1 ผืน</t>
  </si>
  <si>
    <t>ภ.2 โอนให้ สกบ.จัดหา</t>
  </si>
  <si>
    <t>ปืนเล็กยาวติดกล้องเล็งขนาด 7.62 มม. พร้อมอุปกรณ์ประจำปืนครบชุด บก.สส.ภ.2 จำนวน 2 กระบอก</t>
  </si>
  <si>
    <t>หมวกกันกระสุนพร้อมหน้ากากกันกระสุน บก.สส.ภ.2 จำนวน 15 ใบ</t>
  </si>
  <si>
    <t>กล้องตรวจการในเวลากลางคืน บก.สส.ภ.2 จำนวน 2 ตัว</t>
  </si>
  <si>
    <t>โล่กันกระสุนอาวุธปืนสงคราม Level 3A บก.สส.ภ.2  1 ตัว</t>
  </si>
  <si>
    <t>ปืนกลมือขนาด 9 มม. (พารา) ไฟฉายพร้อมด้ามจับและกล้องเล็ง บก.สส.ภ.2 จำนวน 15 กระบอก</t>
  </si>
  <si>
    <t>ไฟส่องสว่างแบบไม่เห็นด้วยตาเปล่า บก.สส.ภ.2  1 ชุด</t>
  </si>
  <si>
    <t>กล้องวัดระยะด้วยแสงเลเซอร์สำหรับปืนเล็กยาวพลซุ่มยิง บก.สส.ภ.2 จำนวน 2 ตัว</t>
  </si>
  <si>
    <t>ไฟฉายพร้อมขาติดกล้องเล็ง บก.สส.ภ.2 จำนวน 15 กระบอก</t>
  </si>
  <si>
    <t>ปืนยิงแก๊สน้ำตาพร้อมอุปกรณ์ บก.สส.ภ.2  1 ชุด</t>
  </si>
  <si>
    <t>รปภ.(ก.ปปปคดีเฉพาะทาง)</t>
  </si>
  <si>
    <t>เสื้อเกราะพร้อมแผ่นแข็ง  บช.ก. แขวงวังใหม่ เขตปทุมวัน กทม. จำนวน 20 ตัว</t>
  </si>
  <si>
    <t>งานปรับปรุงอาคารรักษาการณ์ พร้อมส่วนประกอบ</t>
  </si>
  <si>
    <t>งานปรับปรุงทาสีอาคารภายใน สกบ. (โครงการที่ 1) 1 แห่ง</t>
  </si>
  <si>
    <t>ปรับปรุงอาคารวัสดุ อาคารหมายเลข 5 พธ. 1 แห่ง</t>
  </si>
  <si>
    <t>การก่อสร้างอาคารที่ทำการ อาคารลานจอดรถ และคลังรวม ของ สกบ.</t>
  </si>
  <si>
    <t>โครงการก่อสร้างอาคารที่พักอาศัย (แฟลต 8 ชั้น) ขนาด 42 ครอบครัว (ซอยลือชา) (เฟต 2) จำนวน 5 หลัง</t>
  </si>
  <si>
    <t>โครงการปรับปรุงพัฒนาศูนย์กีฬาตำรวจ</t>
  </si>
  <si>
    <t xml:space="preserve">โครงการก่อสร้างศูนย์ฝึกอบรมพัฒนาบุคลากรและสวัสดิการสำนักงานตำรวจแห่งชาติแบบวิลล่า (ระยะที่ 2) ต.บางละมุง อ.บางละมุง จ.ชลบุรี </t>
  </si>
  <si>
    <t>รวมงบลงทุน(สกบ.)</t>
  </si>
  <si>
    <t>โครงการปรับปรุงอาคารหมายเลข 3 ฝ่ายดนตรี ถ.แจ้งวัฒนะ ต.คลองเกลือ อ.ปากเกร็ด จ.นนทบุรี 1 โครงการ</t>
  </si>
  <si>
    <t>ซ่อมตัวโครงสร้างอาคารบ้านพักส่วนกลาง ตร. ทั้ง 7 แห่ง</t>
  </si>
  <si>
    <t>ปรับปรุงอาคารสถานที่ ฌาปนสถาน ตร. แขวงบ้านพานถม เขตพระนคร กรุงเทพ</t>
  </si>
  <si>
    <t>รวมงบลงทุน(สกพ.)</t>
  </si>
  <si>
    <t>รวมงบลงทุน(สงป.)</t>
  </si>
  <si>
    <t>อยธ.(ก.สนับสนุนฯ)</t>
  </si>
  <si>
    <t>เครื่องโทรสาร แบบใช้กระดาษธรรมดาส่งเอกสารได้ครั้งละ 20 แผ่น กมค. อาคาร 1 ชั้น 15 แขวงวังใหม่ เขตปทุมวัน กทม. จำนวน 4 เครื่อง</t>
  </si>
  <si>
    <t>เครื่องโทรสารแบบใช้กระดาษธรรมดาส่งเอกสารได้ครั้งละ 30 แผ่น กมค. อาคาร 1 ชั้น 15 แขวงวังใหม่ เขตปทุมวัน กทม. จำนวน 3 เครื่อง</t>
  </si>
  <si>
    <t>เครื่องปรับอากาศแบบแยกส่วนชนิดตั้งพื้นหรือชนิดแขวน (มีระบบฟอกอากาศ) ขนาด 30,000 บีทียู กมค. อาคาร 1 ชั้น 15 แขวงวังใหม่ เขตปทุมวัน กทม. จำนวน 16 เครื่อง</t>
  </si>
  <si>
    <t>เครื่องคอมพิวเตอร์ สำหรับงานประมวลผล แบบที่ 2 (จอขนาดไม่น้อยกว่า 18.5 นิ้ว) ของ กมค. (ก.สนับสนุนฯ) แขวงวังใหม่ เขตปทุมวัน กทม. จำนวน 19 เครื่อง</t>
  </si>
  <si>
    <t>เครื่องคอมพิวเตอร์โน้ตบุ้ค สำหรับงานประมวลผล ของ กมค. (ก.สนับสนุนฯ) แขวงวังใหม่ เขตปทุมวัน กทม.</t>
  </si>
  <si>
    <t>เครื่องคอมพิวเตอร์โน้ตบุ้ค สำหรับงานสำนักงาน ของ กมค. (ก.สนับสนุนฯ) แขวงวังใหม่ เขตปทุมวัน กทม.</t>
  </si>
  <si>
    <t>เครื่องพิมพ์แบบฉีดหมึก สำหรับกระดาษขนาด A3 ของ กมค. (ก.สนับสนุนฯ) แขวงวังใหม่ เขตปทุมวัน กทม. จำนวน 2 เครื่อง</t>
  </si>
  <si>
    <t>โครงการก่อสร้างลานกีฬาอเนกประสงค์ พร้อมอุปกรณ์ประจำสนาม สบส. เพื่อใช้เป็นห้องเรียน ต.ศาลายา อ.พุทธมณฑล จ.นครปฐม</t>
  </si>
  <si>
    <t>โครงการก่อสร้างหลังคาลานจอดรถ สบส. ต.ศาลายา อ.พุทธมณฑล จ.นครปฐม</t>
  </si>
  <si>
    <t>รวมงบลงทุน(กมค.)</t>
  </si>
  <si>
    <t>รวมงบลงทุน(สง.ก.ตร.)</t>
  </si>
  <si>
    <t>เครื่องคอมพิวเตอร์ สำหรับงานสำนักงาน (จอขนาดไม่น้อยกว่า 18.5 นิ้ว) จต.เลขที่ 701/701 ถ.รามอินทรา แขวงท่าแร้ง เขตบางเขน กรุงเทพฯ จำนวน 4 เครื่อง</t>
  </si>
  <si>
    <t>รวมงบลงทุน(จต.)</t>
  </si>
  <si>
    <t>รวมงบลงทุน(สตส.)</t>
  </si>
  <si>
    <t>500  M</t>
  </si>
  <si>
    <t>รวมงบลงทุน(สลก.ตร.)</t>
  </si>
  <si>
    <t xml:space="preserve">เครื่องคอมพิวเตอร์แม่ข่าย แบบที่ 2 ตท.สำนักงานตำรวจแห่งชาติ ถนนพระราม 1 แขวงวังใหม่ เขตปทุมวัน กรุงเทพฯ </t>
  </si>
  <si>
    <t xml:space="preserve">อุปกรณ์ป้องกันเครือข่าย (Firewall) แบบที่ 1 ตท.สำนักงานตำรวจแห่งชาติ ถนนพระราม 1 แขวงวังใหม่ เขตปทุมวัน กรุงเทพฯ </t>
  </si>
  <si>
    <t>เครื่องคอมพิวเตอร์ สำหรับงานประมวลผล แบบที่ 1 (จอขนาดไม่น้อยกว่า 18.5 นิ้ว) ตท.สำนักงานตำรวจแห่งชาติ ถนนพระราม 1 แขวงวังใหม่ เขตปทุมวัน กรุงเทพฯ จำนวน 4 เครื่อง</t>
  </si>
  <si>
    <t>เครื่องคอมพิวเตอร์โน๊ตบุ๊ค สำหรับงานประมวลผล ตท.สำนักงานตำรวจแห่งชาติ ถนนพระราม 1 แขวงวังใหม่ เขตปทุมวัน กรุงเทพฯ จำนวน 4 เครื่อง</t>
  </si>
  <si>
    <t>เครื่องพิมพ์ชนิดเลเซอร์/ชนิด LED ขาวดำ(30 หน้า/นาที) ตท.สำนักงานตำรวจแห่งชาติ ถนนพระราม 1 แขวงวังใหม่ เขตปทุมวัน กรุงเทพฯ จำนวน 3 เครื่อง</t>
  </si>
  <si>
    <t xml:space="preserve">เครื่องพิมพ์ชนิดเลเซอร์/ชนิด LED สี แบบ NETWORK ตท.สำนักงานตำรวจแห่งชาติ ถนนพระราม 1 แขวงวังใหม่ เขตปทุมวัน กรุงเทพฯ </t>
  </si>
  <si>
    <t xml:space="preserve">อุปกรณ์กระจายสัญญาณ (L2 Switch) ขนาด 24 ช่อง แบบที่ 2 ตท.สำนักงานตำรวจแห่งชาติ ถนนพระราม 1 แขวงวังใหม่ เขตปทุมวัน กรุงเทพฯ </t>
  </si>
  <si>
    <t xml:space="preserve">อุปกรณ์กระจายสัญญาณ (L3 Switch) ขนาด 24 ช่อง แบบที่ 2 ตท.สำนักงานตำรวจแห่งชาติ ถนนพระราม 1 แขวงวังใหม่ เขตปทุมวัน กรุงเทพฯ </t>
  </si>
  <si>
    <t xml:space="preserve">เครื่องสำรองไฟฟ้า ขนาด 3 kVA ตท.สำนักงานตำรวจแห่งชาติ ถนนพระราม 1 แขวงวังใหม่ เขตปทุมวัน กรุงเทพฯ </t>
  </si>
  <si>
    <t>รวมงบลงทุน(ตท.)</t>
  </si>
  <si>
    <t xml:space="preserve">อุปกรณ์จัดเก็บข้อมูลแบบภายนอก (External Storage) สท.สำนักงานตำรวจแห่งชาติ ถนนพระราม 1 แขวงวังใหม่ เขตปทุมวัน กรุงเทพฯ </t>
  </si>
  <si>
    <t>เครื่องคอมพิวเตอร์ สำหรับงานสำนักงาน (จอขนาดไม่น้อยกว่า 18.5 นิ้ว) สท.สำนักงานตำรวจแห่งชาติ ถนนพระราม 1 แขวงวังใหม่ เขตปทุมวัน กรุงเทพฯ จำนวน 5 เครื่อง</t>
  </si>
  <si>
    <t>เครื่องคอมพิวเตอร์ สำหรับงานประมวลผล แบบที่ 1 (จอขนาดไม่น้อยกว่า 18.5 นิ้ว) สท.สำนักงานตำรวจแห่งชาติ ถนนพระราม 1 แขวงวังใหม่ เขตปทุมวัน กรุงเทพฯ จำนวน 2 เครื่อง</t>
  </si>
  <si>
    <t>เครื่องคอมพิวเตอร์โน้ตบุ้ค สำหรับงานสำนักงาน สท.สำนักงานตำรวจแห่งชาติ ถนนพระราม 1 แขวงวังใหม่ เขตปทุมวัน กรุงเทพฯ จำนวน 2 เครื่อง</t>
  </si>
  <si>
    <t xml:space="preserve">สแกนเนอร์ สำหรับงานเก็บเอกสารระดับศูนย์บริการ แบบที่ 1 สท.สำนักงานตำรวจแห่งชาติ ถนนพระราม 1 แขวงวังใหม่ เขตปทุมวัน กรุงเทพฯ </t>
  </si>
  <si>
    <t>เครื่องพิมพ์  Multifunction ชนิดเลเซอร์/ชนิด LED สี สท.สำนักงานตำรวจแห่งชาติ ถนนพระราม 1 แขวงวังใหม่ เขตปทุมวัน กรุงเทพฯ จำนวน 2 เครื่อง</t>
  </si>
  <si>
    <t>โครงการจัดหาเครื่องกำเนิดกระแสไฟฟ้าโดยน้ำมันเชื้อเพลิง สำหรับดำรงการออกอากาศของศูนย์ผลิตรายการและข่าว ตร. กรุงเทพมหานคร</t>
  </si>
  <si>
    <t>รวมงบลงทุน(สท.)</t>
  </si>
  <si>
    <t>รวมงบลงทุน(สง.ก.ต.ช.)</t>
  </si>
  <si>
    <t>โครงการจัดหาอุปกรณ์ไฟนำร่องลงจอดในเวลากลางวันและกลางคืนทุกสภาพอากาศ (บ.ตร.) แขวงท่าแร้ง เขตบางเขน กรุงเทพฯ จำนวน 2 ชุด</t>
  </si>
  <si>
    <t>เครื่องคอมพิวเตอร์ สำหรับงานสำนักงาน (จอขนาดไม่น้อยกว่า 18.5 นิ้ว) บ.ตร. เลขที่ 701 ถ.รามเอินทรา แขวงท่าแรง เขตบางเขน กรุงเทพฯ จำนวน 25 เครื่อง</t>
  </si>
  <si>
    <t>เครื่องพิมพ์ชนิดเลเซอร์/ชนิด LED ขาวดำ (25 หน้า/นาที) บ.ตร.เลขที่ 701 ถ.รามเอินทรา แขวงท่าแรง เขตบางเขน กรุงเทพฯ จำนวน 20 เครื่อง</t>
  </si>
  <si>
    <t>ค่าซ่อมบำรุงอากาศยาน</t>
  </si>
  <si>
    <t>เครื่องปรับอากาศ แบบแยกส่วน ชนิดตั้งพื้นหรือชนิดแขวน (มีระบบฟอกอากาศ) ขนาด 18,000 บีทียู. บ.ตร. เลขที่ 701 ถ.รามอินทรา แขวงท่าแร้ง เขตบางเขน กรุงเทพ จำนวน 10 เครื่อง</t>
  </si>
  <si>
    <t>เครื่องปรับอากาศ แบบแยกส่วน ชนิดตั้งพื้นหรือชนิดแขวน (มีระบบฟอกอากาศ) ขนาด 13,000 บีทียู บ.ตร. เลขที่ 701 ถ.รามอินทรา แขวงท่าแร้ง เขตบางเขน กรุงเทพ จำนวน 7 เครื่อง</t>
  </si>
  <si>
    <t>รถเติมน้ำมันเชื้อเพลิงอากาศยาน แบบที่ 2 (ขนาด 8,000 ลิตร) กรุงเทพมหานคร จำนวน 1 คัน</t>
  </si>
  <si>
    <t>รถยนต์ลากจูงอากาศยาน กรุงเทพมหานคร จำนวน 2 คัน</t>
  </si>
  <si>
    <t>เครื่องปรับอากาศ แบบแยกส่วนชนิดตั้งพื้นหรือชนิดแขวน(มีระบบฟอกอากาศ)ขนาด 36,000 บีทียู บ.ตร. เลขที่ 701 ถ.รามอินทรา แขวงท่าแร้ง เขตบางเขน กรุงเทพ จำนวน 3 เครื่อง</t>
  </si>
  <si>
    <t>โครงการปรับปรุงสมรรถนะเฮลิคอปเตอร์ รองรับการเข้าสู่ประชาคมอาเซียน บ.ตร. แขวงท่าแร้ง เขตบางเขน กรุงเทพมหานคร 1 โครงการ</t>
  </si>
  <si>
    <t>เรือนแถวชั้นประทวนขนาด 10 คูหา (ทดแทน)  ของ บ.ตร. ถ.รามอินทรา แขวงท่าแร้ง เขตบางเขน กรุงเทพ จำนวน 3 หลัง</t>
  </si>
  <si>
    <t>บ้านพัก ระดับ รอง ผบก.-ผกก. ขนาด 8 ห้อง (ทดแทน) ของ บ.ตร. ถ.รามอินทรา แขวงท่าแร้ง เขตบางเขน กรุงเทพจำนวน 2 หลัง</t>
  </si>
  <si>
    <t>ก่อสร้างรั้วบริเวณบ้านพักข้าราชการ ด้านหลังกองบินตำรวจ ถ.รามอินทรา แขวงท่าแร้ง เขตบางเขน กรุงเทพ 1 แห่ง</t>
  </si>
  <si>
    <t>โครงการติดตั้งระบบไฟแสดงที่ตั้งสนามเฮลิคอปเตอร์และลานจอดเฮลิคอปเตอร์ ของหน่วยบินหัวหิน ต.ชะอำ อ.ชะอำ จ.เพชรบุรี 1 โครงการ</t>
  </si>
  <si>
    <t>รวมงบลงทุน(บ.ตร.)</t>
  </si>
  <si>
    <t>รวมงบลงทุน(วน.)</t>
  </si>
  <si>
    <t>รายการงบลงทุนที่หน่วยได้รับการจัดสรรงปบระมาณ</t>
  </si>
  <si>
    <t>ประจำปีงบประมาณ พ.ศ.2558</t>
  </si>
  <si>
    <t>ข้อมูล ณ วันที่  (ระบบ GFMIS)</t>
  </si>
  <si>
    <t>ประชุมครั้งที่ /2556</t>
  </si>
  <si>
    <t>จำนวนรายการ</t>
  </si>
  <si>
    <t>วงเงิน (บาท)</t>
  </si>
  <si>
    <t>คิดเป็นร้อยละ</t>
  </si>
  <si>
    <t>งบสุทธิ(หลังโอนเปลี่ยนแปลง)</t>
  </si>
  <si>
    <t xml:space="preserve"> - ครุภัณฑ์ฯ</t>
  </si>
  <si>
    <t xml:space="preserve"> - ที่ดินและสิ่งก่อสร้าง</t>
  </si>
  <si>
    <t>เปรียบเทียบผลการเบิกจ่ายงบลงทุน</t>
  </si>
  <si>
    <t>ประจำปีงบประมาณ พ.ศ. 2557</t>
  </si>
  <si>
    <t>ประชุมครั้งที่ 2/2555</t>
  </si>
  <si>
    <t>ประชุมครั้งที่ 3/2555</t>
  </si>
  <si>
    <t>รายละเอียดงบลงทุนรายหน่วย ประจำปีงบประมาณ พ.ศ.2557</t>
  </si>
  <si>
    <t xml:space="preserve">ข้อมูล ณ </t>
  </si>
  <si>
    <t>ลำดับที่</t>
  </si>
  <si>
    <t>รวมทั้งสิ้น</t>
  </si>
  <si>
    <t>จำนวนเงิน</t>
  </si>
  <si>
    <t>ยังไม่ทำสัญญา/เงินเหลือจากการจัดหา</t>
  </si>
  <si>
    <t>บัญชีงบลงทุนหน่วยต่างๆ ในสังกัด ตร.</t>
  </si>
  <si>
    <t>งบลงทุน</t>
  </si>
  <si>
    <t>ภาค 1</t>
  </si>
  <si>
    <t>ภาค 2</t>
  </si>
  <si>
    <t>ภาค 3</t>
  </si>
  <si>
    <t>ภาค 4</t>
  </si>
  <si>
    <t>ภาค 5</t>
  </si>
  <si>
    <t>ภาค 6</t>
  </si>
  <si>
    <t>ภาค 7</t>
  </si>
  <si>
    <t>ภาค 8</t>
  </si>
  <si>
    <t>ภาค 9</t>
  </si>
  <si>
    <t xml:space="preserve">จต. </t>
  </si>
  <si>
    <t>รวมทั้งหมด</t>
  </si>
  <si>
    <t>บัญชีงบลงทุนหน่วยต่างๆ ในสังกัด ตร. ปีงบประมาณ 2559</t>
  </si>
  <si>
    <t>รายการงบลงทุนที่หน่วยได้รับการจัดสรรงบประมาณ</t>
  </si>
  <si>
    <t>ประจำปีงบประมาณ พ.ศ.2559 (หมวดงบรายจ่ายอื่น)</t>
  </si>
  <si>
    <t>ผลผลิต/โครงการ</t>
  </si>
  <si>
    <t>รวมงบลงทุน</t>
  </si>
  <si>
    <t>โครงการเพิ่มประสิทธิภาพการควบคุมสถานการณ์ความไม่สงบในเขต จชต.</t>
  </si>
  <si>
    <t>โครงการจัดหาอาวุธยุทโธปกรณ์สำหรับกำลังพลใหม่ ต.สะเตง อ.เมือง จ.ยะลา</t>
  </si>
  <si>
    <t xml:space="preserve">เสื้อเกราะอ่อนป้องกันกระสุน ระดับ 3+ (ภาคใต้) ต.สะเตง อ.เมือง จ.ยะลา </t>
  </si>
  <si>
    <t>1,355 ตัว</t>
  </si>
  <si>
    <t>การป้องกันและปราบปรามการลักลอบหลบหนีเข้าเมืองและ
คนต่างด้าวไม่พึงปรารถนา</t>
  </si>
  <si>
    <t>รถจักรยานยนต์ ขนาด 300 ซีซี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</si>
  <si>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13 คัน</t>
  </si>
  <si>
    <t>คอมพิวเตอร์ สำหรับประมวลผลแบบที่ 2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</si>
  <si>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3 เครื่อง</t>
  </si>
  <si>
    <t>กล้องถ่ายวีดีโอระบบดิจิตอล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</si>
  <si>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8 กล้อง</t>
  </si>
  <si>
    <t>ปรับปรุงหน่วยบริการประชาชน เพื่อยกระดับการรักษาความปลอดภัยในชีวิตและทรัพย์สิน รอบรับเศรษฐกิจพิเศษ สถานีตำรวจภูธรแม่สาย จว.เชียงราย (1. ตู้ยามบ้านด้าย 2. ตู้ยามบาสพาส 3. ตู้ยามโป่งงาม 4. ตู้ยามโป่งผา 5. ตู้ยามเวียงพางคำ 6. ตู้ยามเวียงหอม 7. ตู้ยามห้วยไคร้ 8. ตู้ยามห้วยน้ำริน 9. ตู้ยามัวฝาย และ 10. ศูนย์จราจร สภ.แม่สาย)</t>
  </si>
  <si>
    <t>10 แห่ง</t>
  </si>
  <si>
    <t>โครงการพัฒนาช่องตรวจหนังสือเดินทาง เพื่อขับเคลื่อนนโยบายเขตพัฒนาเศรษฐกิจพิเศษ ตรวจคนเข้าเมือง จว.สระแก้ว</t>
  </si>
  <si>
    <t>40 ช่อง</t>
  </si>
  <si>
    <t>สร้างศูนย์ One stop Service โครงการยกระดับการรักษาความปลอดภัยในชีวิตและทรัพย์สิน รอบรับเศรษฐกิจพิเศษ สถานีตำรวจภูธรแม่สาย จว.เชียงราย</t>
  </si>
  <si>
    <t>1 แห่ง</t>
  </si>
  <si>
    <t>การรักษาความปลอดภัยในชีวิตและทรัพย์สินของประชาชน</t>
  </si>
  <si>
    <t>โครงการจัดหาและติดตั้งระบบวทยุสื่อสารดิจิตอล ระยะที่ 1</t>
  </si>
  <si>
    <t>โครงการจัดหาอุปกรณ์ประจำกายให้กับ ขรก.ตร.สายปฏิบัติงาน</t>
  </si>
  <si>
    <t>สรุปผลการเบิกจ่ายงบลงทุนที่หน่วยได้รับการจัดสรรงบประมาณ</t>
  </si>
  <si>
    <t>ประจำปีงบประมาณ พ.ศ.2556</t>
  </si>
  <si>
    <t>ข้อมูล ณ 2 ม.ค.2556 (ระบบ GFMIS)</t>
  </si>
  <si>
    <t xml:space="preserve"> ตร. มีผลเบิกจ่ายงบลงทุน จำนวนเงิน </t>
  </si>
  <si>
    <t>บาท คิดเป็นร้อยละ</t>
  </si>
  <si>
    <t>เป้าหมายการเบิกจ่ายงบลงทุน ไตรมาสที่ 1  ร้อยละ 10</t>
  </si>
  <si>
    <t xml:space="preserve"> - หน่วยที่มีผลเบิกจ่ายเป็นไปตามเป้าหมาย มี 1  หน่วย ดังนี้</t>
  </si>
  <si>
    <t xml:space="preserve"> - หน่วยที่มีผลเบิกจ่ายไม่เป็นไปตามเป้าหมาย มี 34  หน่วย แยกเป็น</t>
  </si>
  <si>
    <t>มีผลเบิกจ่ายแล้ว  4  หน่วย ดังนี้</t>
  </si>
  <si>
    <t>ยังไม่มีผลเบิกจ่าย  30  หน่วย ดังนี้</t>
  </si>
  <si>
    <t>รายละเอียดงบลงทุนรายหน่วย  ประจำปีงบประมาณ พ.ศ.2556</t>
  </si>
  <si>
    <t>ข้อมูล ณ 1 เม.ย.56</t>
  </si>
  <si>
    <t>ครุภัณฑ์ฯ</t>
  </si>
  <si>
    <t>รายการที่เอาออก</t>
  </si>
  <si>
    <t>ประจำปีงบประมาณ พ.ศ.2557</t>
  </si>
  <si>
    <t>งบลงทุน ตาม พ.ร.บ.</t>
  </si>
  <si>
    <t>รายการไม่ผูกพัน</t>
  </si>
  <si>
    <t>รายการผูกพัน</t>
  </si>
  <si>
    <t xml:space="preserve">   - ผูกพันเก่า</t>
  </si>
  <si>
    <t xml:space="preserve">   - ผูกพันใหม่</t>
  </si>
  <si>
    <t>อาวุธยุทโธปกรณ์</t>
  </si>
  <si>
    <t xml:space="preserve"> - ผูกพันใหม่  2 รายการ</t>
  </si>
  <si>
    <t>บาท</t>
  </si>
  <si>
    <t xml:space="preserve">   1) โครงการจัดหาเฮลิคอปเตอร์ชนิด 2 เครื่องยนต์ (ทดแทน)</t>
  </si>
  <si>
    <t>พร้อมอุปกรณ์ช่วยเหลือผู้ประสบภัย 1 ลำ</t>
  </si>
  <si>
    <t xml:space="preserve"> สพฐ.ตร.</t>
  </si>
  <si>
    <t xml:space="preserve">   2) โครงการขยายฐานข้อมูลระบบตรวจสอบลายพิมพ์นิ้วมืออัตโนมัติ (AFIS)(ผูกพันปี 2555-2556)</t>
  </si>
  <si>
    <t>รายการผูกพัน  8  รายการ</t>
  </si>
  <si>
    <t xml:space="preserve">บาท </t>
  </si>
  <si>
    <t xml:space="preserve"> - ผูกพันเก่า  5 รายการ</t>
  </si>
  <si>
    <t xml:space="preserve">     1) โครงการก่อสร้างอาคารที่ทำการกองบัญชาการตำรวจสอบสวนกลางพร้อมส่วนประกอบ 1 หลัง </t>
  </si>
  <si>
    <t>(ผูกพัน ปี 2551 - 2552 , 2554 - 2556)   วงเงิน  35,287,900  บาท</t>
  </si>
  <si>
    <t xml:space="preserve">     2) ค่าใช้จ่ายในการจัดซื้อที่ดินจากบรรษัทบริหารสินทรัพย์ไทยไว้ใช้เป็นสถานที่ดำเนินการก่อสร้าง</t>
  </si>
  <si>
    <t xml:space="preserve">อาคารที่ทำการและอาคารที่พักอาศัยให้กับข้าราชการตำรวจของกองบัญชาการตำรวจสอบสวนกลาง </t>
  </si>
  <si>
    <t>(ผูกพันปี 2554 - 2555)  วงเงิน  700,000,000  บาท</t>
  </si>
  <si>
    <t xml:space="preserve">      3) โครงการก่อสร้างอาคารที่ทำการโรงเรียนนายร้อยตำรวจ พร้อมส่วนประกอบ 1 หลัง</t>
  </si>
  <si>
    <t xml:space="preserve">(ผูกพันปี 2551-2552,2555-2556)  </t>
  </si>
  <si>
    <t xml:space="preserve">      4) โครงการก่อสร้างอาคารโรงพยาบาลตำรวจ(ผูกพันปี 2553-2557) </t>
  </si>
  <si>
    <t xml:space="preserve">      5) ก่อสร้างอาคารที่ทำการสำนักงานจเรตำรวจ จำนวน 1 หลัง และอาคารที่ทำการสำนักงาน</t>
  </si>
  <si>
    <t>ตรวจสอบภายใน จำนวน 1 หลัง พร้อมส่วนประกอบ(ผูกพันปี 2554-2556)</t>
  </si>
  <si>
    <t xml:space="preserve"> - ผูกพันใหม่  3 รายการ</t>
  </si>
  <si>
    <t xml:space="preserve">      1) อาคารที่ทำการตำรวจภูธรภาค 8 พร้อมส่วนประกอบ 1 หลัง (ผูกพัน ปี 2555 - ปี 2556)</t>
  </si>
  <si>
    <t xml:space="preserve">      2) โครงการก่อสร้างอาคารที่ทำการศูนย์พิสูจน์หลักฐาน 6 จังหวัดพิษณุโลก พร้อมค่าถมดินและ</t>
  </si>
  <si>
    <t>ส่วนประกอบ 1 หลัง(ผูกพันปี 2555-2556)   วงเงิน  7,043,800  บาท</t>
  </si>
  <si>
    <t xml:space="preserve">      3) โครงการก่อสร้างอาคารที่ทำการศูนย์พิสูจน์หลักฐาน 4 จังหวัดขอนแก่น พร้อมส่วนประกอบ </t>
  </si>
  <si>
    <t>1 หลัง(ผูกพันปี 2555-2556)  วงเงิน  6,750,000 บาท</t>
  </si>
  <si>
    <t xml:space="preserve"> - จำนวน 8 รายการ</t>
  </si>
  <si>
    <t>แยกเป็นหน่วยต่าง ๆ ดังนี้</t>
  </si>
  <si>
    <t xml:space="preserve">    1. ศชต.</t>
  </si>
  <si>
    <t xml:space="preserve">       1) เสื้อเกราะอ่อนป้องกันกระสุน พร้อมแผ่นกระแข็ง 500 ตัว</t>
  </si>
  <si>
    <t xml:space="preserve">    2. บช.ตชด.</t>
  </si>
  <si>
    <t xml:space="preserve">        2) เสื้อเกราะอ่อนป้องกันกระสุนพร้อมแผ่นเกราะแข็ง 1,000 ตัว วงเงิน 34,800,000  บาท</t>
  </si>
  <si>
    <t xml:space="preserve">        3) เครื่องยิงทำลายวงจรระเบิดแสวงเครื่อง 2 เครื่อง วงเงิน  1,000,000 บาท</t>
  </si>
  <si>
    <t xml:space="preserve">        4) เครื่องตรวจทุ่นระเบิด 2 เครื่อง  วงเงิน  500,000  บาท</t>
  </si>
  <si>
    <t xml:space="preserve">        5) หุ่นยนต์เก็บกู้วัตถุระเบิด 2 ตัว  วงเงิน 7,000,000  บาท</t>
  </si>
  <si>
    <t xml:space="preserve">        6) ชุดนิรภัยสำหรับเก็บกู้วัตถุระเบิด 2 ชุด  วงเงิน  5,600,000  บาท</t>
  </si>
  <si>
    <t xml:space="preserve">    3. นรป.</t>
  </si>
  <si>
    <t xml:space="preserve">        7) ชุดอาวุธและอุปกรณ์พิเศษประจำรถยนต์อาวุธในการถวายความปลอดภัย (นรป.) 4 ชุด</t>
  </si>
  <si>
    <t xml:space="preserve">    4. สกบ.</t>
  </si>
  <si>
    <t xml:space="preserve">       8) เสิ้อเกราะอ่อนป้องกันกระสุน 2,200 ตัว</t>
  </si>
  <si>
    <t>การกระทำผิดเกี่ยวกับทรพยากรฯ(ก.การปราบปรามฯ)</t>
  </si>
  <si>
    <t>ชุดเคาน์เตอร์รูปตัวแอล ปทส. 77 ชุด</t>
  </si>
  <si>
    <t>เครื่องปรับอากาศประจำศูนย์ ปทส. 77 เครื่อง</t>
  </si>
  <si>
    <t>คอมพิวเตอร์ all in one (ไม่มี case) ปทส. 154 เครื่อง</t>
  </si>
  <si>
    <t>ค่าปรับปรุงห้องศูนย์ ปทส. 77 ศูนย์</t>
  </si>
  <si>
    <t>บก.อก.</t>
  </si>
  <si>
    <t>ปืนลูกซองขนาด 12(GAUGE) พร้อมกระโจมมือหน้าพร้อมไฟฉาย บก.สส.ภ.2 จำนวน 2 กระบอก</t>
  </si>
  <si>
    <t>อก.</t>
  </si>
  <si>
    <t>ยธ.</t>
  </si>
  <si>
    <t>สพ.</t>
  </si>
  <si>
    <t>โครงการจัดหาและติดตั้งระบบวิทยุสื่อสารดิจิตอล ระยะที่ 1</t>
  </si>
  <si>
    <t>โครงการจัดหาอุปกรณ์ประจำกายให้กับข้าราชการตำรวจสายปฏิบัติงาน</t>
  </si>
  <si>
    <t>โครงการพัฒนาช่องตรวจหนังสือเดินทาง เพื่อขับเคลื่อนนโยบายเขตพัฒนาเศรษฐกิจพิเศษ จว.สระแก้ว จำนวน 40 ช่อง</t>
  </si>
  <si>
    <t>ลักลอบหลบหนีเข้าเมืองฯ(ก.พัฒนาพื้นที่ในเขตเศรษฐกิจพิเศษ)</t>
  </si>
  <si>
    <t>รปภ.</t>
  </si>
  <si>
    <t>รถจักรยานยนต์ ขนาด 300 ซีซี สำหรับโครงการยกระดับการรักษาความปลอดภัยในชีวิตและทรัพย์สิน รองรับเศรษฐกิจพิเศษ สภ.แม่สาย จว.เชียงราย จำนวน 13 คัน</t>
  </si>
  <si>
    <t>คอมพิวเตอร์ สำหรับประมวลผล แบบที่ 2 สำหรับโครงการยกระดับการรักษาความปลอดภัยในชีวิตและทรัพย์สิน รองรับเศรษฐกิจพิเศษ สภ.แม่สาย จว.เชียงราย จำนวน 3 เครื่อง</t>
  </si>
  <si>
    <t>กล้องถ่ายวีดีโอระบบดิจิตอล สำหรับโครงการยกระดับการรักษาความปลอดภัยในชีวิตและทรัพย์สิน รองรับเศรษฐกิจพิเศษ สภ.แม่สาย จว.เชียงราย จำนวน 8 กล้อง</t>
  </si>
  <si>
    <t xml:space="preserve">ความก้าวหน้า/ปัญหา 
ประชุม (ระดับ ตร.) ครั้งที่ 3/59
วันที่ 8 ม.ค.59 </t>
  </si>
  <si>
    <t>แบบรายงานการจัดซื้อจัดจ้าง รายจ่ายอื่นใช้จ่ายในลักษณะงบลงทุน ปีงบประมาณ  2559</t>
  </si>
  <si>
    <t>ปรับปรุงหน่วยบริการประชาชน เพื่อยกระดับการรักษาความปลอดภัยในชีวิตและทรัพย์สิน รองรับเศรษฐกิจพิเศษ สภ.แม่สาย จว.เชียงราย จำนวน 10 แห่ง</t>
  </si>
  <si>
    <t>สร้างศูนย์ One-Stop Service โครงการยกระดับการรักษาความปลอดภัยในชีวิตและทรัพย์สิน รองรับเศรษฐกิจพิเศษ สภ.แม่สาย จว.เชียงราย 1 แห่ง</t>
  </si>
  <si>
    <t>โครงการจัดหาอาวุธยุทโธปกรณ์สำหรับกำลังพลใหม่ 
ต.สะเตง อ.เมือง จว.ยะลา</t>
  </si>
  <si>
    <t>เสื้อเกราะอ่อนป้องกันกระสุน ระดับ 3+ จำนวน 1,355 ตัว
ต.สะเตง อ.เมือง จว.ยะลา</t>
  </si>
  <si>
    <t>หน่วยที่มีรายการลงนามในสัญญาแล้ว แต่ยังไม่บันทึก PO
ข้อมูล ณ วันที่ 25 พ.ย.58</t>
  </si>
  <si>
    <t>รายงาน ณ :  25 ธ.ค.58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</si>
</sst>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_-* #,##0.000_-;\-* #,##0.000_-;_-* &quot;-&quot;??_-;_-@_-"/>
    <numFmt numFmtId="190" formatCode="_-* #,##0.0000_-;\-* #,##0.0000_-;_-* &quot;-&quot;??_-;_-@_-"/>
    <numFmt numFmtId="191" formatCode="_-* #,##0_-;\-* #,##0_-;_-* &quot;-&quot;?_-;_-@_-"/>
    <numFmt numFmtId="192" formatCode="#,##0_ ;\-#,##0\ "/>
  </numFmts>
  <fonts count="44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i/>
      <sz val="16"/>
      <name val="TH SarabunPSK"/>
      <family val="2"/>
    </font>
    <font>
      <i/>
      <sz val="16"/>
      <name val="TH SarabunPSK"/>
      <family val="2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2"/>
      <color indexed="8"/>
      <name val="TH SarabunPSK"/>
      <family val="2"/>
    </font>
    <font>
      <b/>
      <sz val="10"/>
      <color indexed="8"/>
      <name val="TH SarabunPSK"/>
      <family val="2"/>
    </font>
    <font>
      <b/>
      <sz val="11"/>
      <color indexed="8"/>
      <name val="TH SarabunPSK"/>
      <family val="2"/>
    </font>
    <font>
      <b/>
      <sz val="10"/>
      <name val="Arial"/>
      <family val="2"/>
    </font>
    <font>
      <b/>
      <sz val="24"/>
      <name val="TH SarabunPSK"/>
      <family val="2"/>
    </font>
    <font>
      <b/>
      <sz val="9"/>
      <color indexed="8"/>
      <name val="TH SarabunPSK"/>
      <family val="2"/>
    </font>
    <font>
      <b/>
      <sz val="8"/>
      <color indexed="8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8"/>
      <color indexed="8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6" fillId="0" borderId="0"/>
  </cellStyleXfs>
  <cellXfs count="698">
    <xf numFmtId="0" fontId="0" fillId="0" borderId="0" xfId="0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187" fontId="7" fillId="0" borderId="0" xfId="7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" xfId="7" applyFont="1" applyFill="1" applyBorder="1" applyAlignment="1">
      <alignment vertical="center" wrapText="1"/>
    </xf>
    <xf numFmtId="43" fontId="7" fillId="0" borderId="1" xfId="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7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3" fontId="7" fillId="0" borderId="0" xfId="7" applyFont="1" applyFill="1" applyBorder="1" applyAlignment="1">
      <alignment horizontal="center" vertical="center" wrapText="1"/>
    </xf>
    <xf numFmtId="187" fontId="7" fillId="0" borderId="0" xfId="7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187" fontId="6" fillId="0" borderId="0" xfId="7" applyNumberFormat="1" applyFont="1" applyBorder="1"/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2" borderId="0" xfId="0" applyFont="1" applyFill="1" applyBorder="1"/>
    <xf numFmtId="187" fontId="7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187" fontId="8" fillId="0" borderId="1" xfId="7" applyNumberFormat="1" applyFont="1" applyFill="1" applyBorder="1" applyAlignment="1">
      <alignment horizontal="center" vertical="center" wrapText="1"/>
    </xf>
    <xf numFmtId="43" fontId="8" fillId="0" borderId="1" xfId="7" applyFont="1" applyFill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/>
    </xf>
    <xf numFmtId="0" fontId="10" fillId="0" borderId="0" xfId="0" applyFont="1" applyAlignment="1"/>
    <xf numFmtId="43" fontId="11" fillId="0" borderId="0" xfId="7" applyFont="1"/>
    <xf numFmtId="0" fontId="11" fillId="0" borderId="0" xfId="0" applyFont="1"/>
    <xf numFmtId="43" fontId="10" fillId="0" borderId="0" xfId="7" applyFont="1"/>
    <xf numFmtId="0" fontId="10" fillId="0" borderId="0" xfId="0" applyFont="1"/>
    <xf numFmtId="0" fontId="17" fillId="0" borderId="0" xfId="0" applyFont="1" applyAlignment="1">
      <alignment horizontal="center"/>
    </xf>
    <xf numFmtId="187" fontId="17" fillId="0" borderId="3" xfId="0" applyNumberFormat="1" applyFont="1" applyBorder="1" applyAlignment="1">
      <alignment horizontal="center"/>
    </xf>
    <xf numFmtId="0" fontId="17" fillId="0" borderId="4" xfId="0" applyFont="1" applyBorder="1"/>
    <xf numFmtId="0" fontId="17" fillId="0" borderId="5" xfId="0" applyFont="1" applyBorder="1"/>
    <xf numFmtId="187" fontId="17" fillId="0" borderId="5" xfId="7" applyNumberFormat="1" applyFont="1" applyBorder="1"/>
    <xf numFmtId="187" fontId="17" fillId="0" borderId="0" xfId="7" applyNumberFormat="1" applyFont="1"/>
    <xf numFmtId="187" fontId="17" fillId="0" borderId="0" xfId="0" applyNumberFormat="1" applyFont="1"/>
    <xf numFmtId="0" fontId="17" fillId="0" borderId="0" xfId="0" applyFont="1"/>
    <xf numFmtId="0" fontId="18" fillId="0" borderId="6" xfId="0" applyFont="1" applyBorder="1"/>
    <xf numFmtId="0" fontId="18" fillId="0" borderId="7" xfId="0" applyFont="1" applyBorder="1"/>
    <xf numFmtId="187" fontId="18" fillId="0" borderId="7" xfId="7" applyNumberFormat="1" applyFont="1" applyBorder="1"/>
    <xf numFmtId="187" fontId="18" fillId="0" borderId="0" xfId="7" applyNumberFormat="1" applyFont="1"/>
    <xf numFmtId="43" fontId="18" fillId="0" borderId="0" xfId="0" applyNumberFormat="1" applyFont="1"/>
    <xf numFmtId="0" fontId="18" fillId="0" borderId="0" xfId="0" applyFont="1"/>
    <xf numFmtId="0" fontId="18" fillId="0" borderId="8" xfId="0" applyFont="1" applyBorder="1"/>
    <xf numFmtId="0" fontId="18" fillId="0" borderId="9" xfId="0" applyFont="1" applyBorder="1"/>
    <xf numFmtId="187" fontId="18" fillId="0" borderId="9" xfId="7" applyNumberFormat="1" applyFont="1" applyBorder="1"/>
    <xf numFmtId="0" fontId="17" fillId="0" borderId="10" xfId="0" applyFont="1" applyBorder="1"/>
    <xf numFmtId="0" fontId="17" fillId="0" borderId="11" xfId="0" applyFont="1" applyBorder="1"/>
    <xf numFmtId="187" fontId="17" fillId="0" borderId="11" xfId="7" applyNumberFormat="1" applyFont="1" applyBorder="1"/>
    <xf numFmtId="43" fontId="17" fillId="0" borderId="0" xfId="0" applyNumberFormat="1" applyFont="1"/>
    <xf numFmtId="0" fontId="17" fillId="0" borderId="6" xfId="0" applyFont="1" applyBorder="1"/>
    <xf numFmtId="0" fontId="17" fillId="0" borderId="7" xfId="0" applyFont="1" applyBorder="1"/>
    <xf numFmtId="187" fontId="17" fillId="0" borderId="7" xfId="7" applyNumberFormat="1" applyFont="1" applyBorder="1"/>
    <xf numFmtId="188" fontId="18" fillId="0" borderId="0" xfId="7" applyNumberFormat="1" applyFont="1"/>
    <xf numFmtId="188" fontId="17" fillId="0" borderId="0" xfId="7" applyNumberFormat="1" applyFont="1"/>
    <xf numFmtId="187" fontId="19" fillId="0" borderId="0" xfId="0" applyNumberFormat="1" applyFont="1"/>
    <xf numFmtId="43" fontId="19" fillId="0" borderId="0" xfId="0" applyNumberFormat="1" applyFont="1"/>
    <xf numFmtId="191" fontId="17" fillId="0" borderId="0" xfId="0" applyNumberFormat="1" applyFont="1"/>
    <xf numFmtId="0" fontId="12" fillId="0" borderId="0" xfId="0" applyFont="1"/>
    <xf numFmtId="43" fontId="12" fillId="0" borderId="0" xfId="7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/>
    <xf numFmtId="187" fontId="10" fillId="0" borderId="12" xfId="7" applyNumberFormat="1" applyFont="1" applyBorder="1" applyAlignment="1">
      <alignment horizontal="center"/>
    </xf>
    <xf numFmtId="43" fontId="10" fillId="0" borderId="12" xfId="7" applyFont="1" applyBorder="1" applyAlignment="1">
      <alignment horizontal="center"/>
    </xf>
    <xf numFmtId="0" fontId="10" fillId="0" borderId="13" xfId="0" applyFont="1" applyBorder="1"/>
    <xf numFmtId="43" fontId="10" fillId="0" borderId="13" xfId="7" applyFont="1" applyBorder="1" applyAlignment="1">
      <alignment horizontal="center"/>
    </xf>
    <xf numFmtId="43" fontId="11" fillId="0" borderId="0" xfId="0" applyNumberFormat="1" applyFont="1"/>
    <xf numFmtId="0" fontId="9" fillId="0" borderId="0" xfId="0" applyFont="1" applyBorder="1"/>
    <xf numFmtId="187" fontId="9" fillId="0" borderId="14" xfId="7" applyNumberFormat="1" applyFont="1" applyBorder="1"/>
    <xf numFmtId="187" fontId="18" fillId="0" borderId="0" xfId="0" applyNumberFormat="1" applyFont="1"/>
    <xf numFmtId="43" fontId="10" fillId="0" borderId="7" xfId="7" applyFont="1" applyBorder="1" applyAlignment="1">
      <alignment horizontal="center"/>
    </xf>
    <xf numFmtId="187" fontId="10" fillId="0" borderId="6" xfId="7" applyNumberFormat="1" applyFont="1" applyBorder="1" applyAlignment="1">
      <alignment horizontal="center"/>
    </xf>
    <xf numFmtId="4" fontId="11" fillId="0" borderId="0" xfId="0" applyNumberFormat="1" applyFont="1"/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43" fontId="10" fillId="0" borderId="12" xfId="7" applyNumberFormat="1" applyFont="1" applyBorder="1"/>
    <xf numFmtId="43" fontId="11" fillId="0" borderId="13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3" fontId="13" fillId="0" borderId="1" xfId="7" applyFont="1" applyBorder="1" applyAlignment="1">
      <alignment horizontal="center"/>
    </xf>
    <xf numFmtId="0" fontId="14" fillId="0" borderId="0" xfId="0" applyFont="1"/>
    <xf numFmtId="187" fontId="13" fillId="0" borderId="16" xfId="7" applyNumberFormat="1" applyFont="1" applyBorder="1" applyAlignment="1">
      <alignment horizontal="center"/>
    </xf>
    <xf numFmtId="43" fontId="13" fillId="0" borderId="2" xfId="7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192" fontId="10" fillId="0" borderId="13" xfId="0" applyNumberFormat="1" applyFont="1" applyBorder="1" applyAlignment="1">
      <alignment horizontal="right"/>
    </xf>
    <xf numFmtId="192" fontId="13" fillId="0" borderId="1" xfId="0" applyNumberFormat="1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43" fontId="18" fillId="0" borderId="0" xfId="7" applyFont="1"/>
    <xf numFmtId="43" fontId="17" fillId="0" borderId="0" xfId="0" applyNumberFormat="1" applyFont="1" applyAlignment="1">
      <alignment horizontal="center"/>
    </xf>
    <xf numFmtId="43" fontId="7" fillId="0" borderId="0" xfId="7" applyFont="1" applyFill="1" applyBorder="1" applyAlignment="1">
      <alignment vertical="center" wrapText="1"/>
    </xf>
    <xf numFmtId="43" fontId="8" fillId="0" borderId="1" xfId="7" applyFont="1" applyBorder="1" applyAlignment="1">
      <alignment horizontal="center" vertical="center"/>
    </xf>
    <xf numFmtId="43" fontId="7" fillId="0" borderId="0" xfId="7" applyFont="1" applyBorder="1" applyAlignment="1">
      <alignment horizontal="center" vertical="center"/>
    </xf>
    <xf numFmtId="43" fontId="6" fillId="0" borderId="0" xfId="7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87" fontId="11" fillId="0" borderId="1" xfId="7" applyNumberFormat="1" applyFont="1" applyBorder="1"/>
    <xf numFmtId="0" fontId="18" fillId="0" borderId="0" xfId="0" applyFont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87" fontId="17" fillId="0" borderId="1" xfId="7" applyNumberFormat="1" applyFont="1" applyBorder="1" applyAlignment="1">
      <alignment vertical="center"/>
    </xf>
    <xf numFmtId="187" fontId="17" fillId="0" borderId="1" xfId="7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87" fontId="17" fillId="0" borderId="2" xfId="7" applyNumberFormat="1" applyFont="1" applyBorder="1" applyAlignment="1">
      <alignment horizontal="center"/>
    </xf>
    <xf numFmtId="187" fontId="17" fillId="0" borderId="1" xfId="7" applyNumberFormat="1" applyFont="1" applyBorder="1"/>
    <xf numFmtId="0" fontId="17" fillId="0" borderId="0" xfId="0" applyFont="1" applyBorder="1" applyAlignment="1">
      <alignment horizontal="center" vertical="center"/>
    </xf>
    <xf numFmtId="187" fontId="17" fillId="0" borderId="0" xfId="7" applyNumberFormat="1" applyFont="1" applyBorder="1" applyAlignment="1">
      <alignment vertical="center"/>
    </xf>
    <xf numFmtId="187" fontId="17" fillId="0" borderId="0" xfId="7" applyNumberFormat="1" applyFont="1" applyBorder="1"/>
    <xf numFmtId="0" fontId="18" fillId="0" borderId="0" xfId="0" applyFont="1" applyAlignment="1">
      <alignment horizontal="center" vertical="center"/>
    </xf>
    <xf numFmtId="187" fontId="17" fillId="0" borderId="0" xfId="7" applyNumberFormat="1" applyFont="1" applyAlignment="1">
      <alignment vertical="center"/>
    </xf>
    <xf numFmtId="43" fontId="9" fillId="0" borderId="0" xfId="7" applyFont="1" applyBorder="1" applyAlignment="1">
      <alignment horizontal="center" vertical="center"/>
    </xf>
    <xf numFmtId="43" fontId="10" fillId="0" borderId="15" xfId="7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187" fontId="10" fillId="0" borderId="20" xfId="0" applyNumberFormat="1" applyFont="1" applyBorder="1"/>
    <xf numFmtId="187" fontId="11" fillId="0" borderId="0" xfId="0" applyNumberFormat="1" applyFont="1"/>
    <xf numFmtId="0" fontId="11" fillId="0" borderId="0" xfId="0" applyFont="1" applyAlignment="1">
      <alignment horizontal="center"/>
    </xf>
    <xf numFmtId="187" fontId="11" fillId="0" borderId="1" xfId="0" applyNumberFormat="1" applyFont="1" applyBorder="1" applyAlignment="1">
      <alignment horizontal="center"/>
    </xf>
    <xf numFmtId="43" fontId="11" fillId="0" borderId="1" xfId="7" applyFont="1" applyBorder="1"/>
    <xf numFmtId="1" fontId="11" fillId="0" borderId="1" xfId="0" applyNumberFormat="1" applyFont="1" applyBorder="1" applyAlignment="1">
      <alignment horizontal="center"/>
    </xf>
    <xf numFmtId="1" fontId="11" fillId="0" borderId="1" xfId="7" applyNumberFormat="1" applyFont="1" applyBorder="1" applyAlignment="1">
      <alignment horizontal="center"/>
    </xf>
    <xf numFmtId="43" fontId="11" fillId="0" borderId="1" xfId="7" applyFont="1" applyBorder="1" applyAlignment="1">
      <alignment horizontal="center"/>
    </xf>
    <xf numFmtId="187" fontId="17" fillId="0" borderId="21" xfId="7" applyNumberFormat="1" applyFont="1" applyBorder="1" applyAlignment="1">
      <alignment vertical="center"/>
    </xf>
    <xf numFmtId="187" fontId="17" fillId="0" borderId="21" xfId="7" applyNumberFormat="1" applyFont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/>
    <xf numFmtId="1" fontId="11" fillId="0" borderId="13" xfId="7" applyNumberFormat="1" applyFont="1" applyBorder="1" applyAlignment="1">
      <alignment horizontal="center"/>
    </xf>
    <xf numFmtId="1" fontId="11" fillId="0" borderId="13" xfId="0" applyNumberFormat="1" applyFont="1" applyBorder="1"/>
    <xf numFmtId="187" fontId="11" fillId="0" borderId="13" xfId="0" applyNumberFormat="1" applyFont="1" applyBorder="1" applyAlignment="1">
      <alignment horizontal="center"/>
    </xf>
    <xf numFmtId="4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 wrapText="1"/>
    </xf>
    <xf numFmtId="43" fontId="7" fillId="0" borderId="0" xfId="0" applyNumberFormat="1" applyFont="1" applyFill="1" applyBorder="1"/>
    <xf numFmtId="43" fontId="11" fillId="0" borderId="13" xfId="7" applyFont="1" applyBorder="1" applyAlignment="1">
      <alignment horizontal="center"/>
    </xf>
    <xf numFmtId="43" fontId="10" fillId="0" borderId="20" xfId="7" applyFont="1" applyBorder="1"/>
    <xf numFmtId="43" fontId="11" fillId="0" borderId="0" xfId="7" applyFont="1" applyAlignment="1">
      <alignment horizontal="center"/>
    </xf>
    <xf numFmtId="43" fontId="10" fillId="0" borderId="1" xfId="7" applyFont="1" applyBorder="1" applyAlignment="1">
      <alignment horizontal="center" vertical="center" wrapText="1"/>
    </xf>
    <xf numFmtId="43" fontId="11" fillId="0" borderId="13" xfId="7" applyFont="1" applyBorder="1"/>
    <xf numFmtId="0" fontId="9" fillId="0" borderId="15" xfId="0" applyFont="1" applyBorder="1" applyAlignment="1">
      <alignment horizontal="center" vertical="center" wrapText="1"/>
    </xf>
    <xf numFmtId="43" fontId="9" fillId="0" borderId="1" xfId="7" applyFont="1" applyBorder="1" applyAlignment="1">
      <alignment horizontal="center" vertical="center" wrapText="1"/>
    </xf>
    <xf numFmtId="187" fontId="9" fillId="0" borderId="1" xfId="7" applyNumberFormat="1" applyFont="1" applyBorder="1" applyAlignment="1">
      <alignment horizontal="center" vertical="center" wrapText="1"/>
    </xf>
    <xf numFmtId="187" fontId="11" fillId="0" borderId="0" xfId="0" applyNumberFormat="1" applyFont="1" applyAlignment="1">
      <alignment horizontal="center"/>
    </xf>
    <xf numFmtId="43" fontId="7" fillId="0" borderId="0" xfId="7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/>
    <xf numFmtId="1" fontId="11" fillId="0" borderId="13" xfId="0" applyNumberFormat="1" applyFont="1" applyBorder="1" applyAlignment="1">
      <alignment horizontal="center"/>
    </xf>
    <xf numFmtId="187" fontId="10" fillId="0" borderId="20" xfId="0" applyNumberFormat="1" applyFont="1" applyBorder="1" applyAlignment="1">
      <alignment horizontal="center"/>
    </xf>
    <xf numFmtId="187" fontId="11" fillId="0" borderId="1" xfId="7" applyNumberFormat="1" applyFont="1" applyBorder="1" applyAlignment="1">
      <alignment horizontal="center"/>
    </xf>
    <xf numFmtId="187" fontId="11" fillId="0" borderId="13" xfId="7" applyNumberFormat="1" applyFont="1" applyBorder="1" applyAlignment="1">
      <alignment horizontal="center"/>
    </xf>
    <xf numFmtId="187" fontId="10" fillId="0" borderId="20" xfId="7" applyNumberFormat="1" applyFont="1" applyBorder="1" applyAlignment="1">
      <alignment horizontal="center"/>
    </xf>
    <xf numFmtId="187" fontId="11" fillId="0" borderId="0" xfId="7" applyNumberFormat="1" applyFont="1" applyAlignment="1">
      <alignment horizontal="center"/>
    </xf>
    <xf numFmtId="43" fontId="10" fillId="0" borderId="0" xfId="7" applyFont="1" applyAlignment="1">
      <alignment horizontal="center"/>
    </xf>
    <xf numFmtId="187" fontId="10" fillId="0" borderId="0" xfId="7" applyNumberFormat="1" applyFont="1" applyAlignment="1">
      <alignment horizontal="center"/>
    </xf>
    <xf numFmtId="0" fontId="17" fillId="0" borderId="18" xfId="0" applyFont="1" applyBorder="1" applyAlignment="1">
      <alignment horizontal="left"/>
    </xf>
    <xf numFmtId="43" fontId="10" fillId="0" borderId="0" xfId="0" applyNumberFormat="1" applyFont="1"/>
    <xf numFmtId="43" fontId="10" fillId="0" borderId="0" xfId="7" applyFont="1" applyAlignment="1"/>
    <xf numFmtId="43" fontId="10" fillId="0" borderId="0" xfId="0" applyNumberFormat="1" applyFont="1" applyAlignment="1">
      <alignment horizontal="left"/>
    </xf>
    <xf numFmtId="43" fontId="11" fillId="0" borderId="0" xfId="0" applyNumberFormat="1" applyFont="1" applyFill="1" applyAlignment="1">
      <alignment horizontal="left"/>
    </xf>
    <xf numFmtId="43" fontId="11" fillId="0" borderId="0" xfId="0" applyNumberFormat="1" applyFont="1" applyAlignment="1">
      <alignment horizontal="left"/>
    </xf>
    <xf numFmtId="43" fontId="11" fillId="0" borderId="0" xfId="0" applyNumberFormat="1" applyFont="1" applyAlignment="1"/>
    <xf numFmtId="43" fontId="10" fillId="0" borderId="0" xfId="7" applyFont="1" applyAlignment="1">
      <alignment vertical="center"/>
    </xf>
    <xf numFmtId="43" fontId="11" fillId="0" borderId="0" xfId="7" applyFont="1" applyFill="1" applyAlignment="1"/>
    <xf numFmtId="0" fontId="11" fillId="0" borderId="0" xfId="0" applyFont="1" applyFill="1"/>
    <xf numFmtId="189" fontId="11" fillId="0" borderId="0" xfId="7" applyNumberFormat="1" applyFont="1" applyAlignment="1"/>
    <xf numFmtId="43" fontId="10" fillId="0" borderId="15" xfId="7" applyFont="1" applyBorder="1" applyAlignment="1">
      <alignment horizontal="center" vertical="center"/>
    </xf>
    <xf numFmtId="43" fontId="10" fillId="0" borderId="15" xfId="7" applyFont="1" applyBorder="1" applyAlignment="1">
      <alignment horizontal="center" vertical="center" wrapText="1"/>
    </xf>
    <xf numFmtId="43" fontId="9" fillId="0" borderId="15" xfId="7" applyFont="1" applyBorder="1" applyAlignment="1">
      <alignment horizontal="center" vertical="center" wrapText="1"/>
    </xf>
    <xf numFmtId="43" fontId="10" fillId="0" borderId="0" xfId="7" applyFont="1" applyAlignment="1">
      <alignment horizontal="center" vertical="center" wrapText="1"/>
    </xf>
    <xf numFmtId="43" fontId="10" fillId="0" borderId="1" xfId="7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187" fontId="10" fillId="0" borderId="20" xfId="7" applyNumberFormat="1" applyFont="1" applyBorder="1"/>
    <xf numFmtId="0" fontId="10" fillId="0" borderId="0" xfId="0" applyFont="1" applyAlignment="1">
      <alignment horizontal="center" vertical="center"/>
    </xf>
    <xf numFmtId="0" fontId="11" fillId="0" borderId="1" xfId="0" applyFont="1" applyFill="1" applyBorder="1"/>
    <xf numFmtId="43" fontId="7" fillId="0" borderId="1" xfId="7" applyFont="1" applyFill="1" applyBorder="1"/>
    <xf numFmtId="43" fontId="6" fillId="0" borderId="0" xfId="7" applyFont="1" applyFill="1" applyBorder="1"/>
    <xf numFmtId="0" fontId="20" fillId="0" borderId="17" xfId="0" applyFont="1" applyBorder="1" applyAlignment="1">
      <alignment vertical="center"/>
    </xf>
    <xf numFmtId="187" fontId="17" fillId="0" borderId="2" xfId="7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43" fontId="11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0" fontId="10" fillId="0" borderId="10" xfId="0" applyFont="1" applyBorder="1" applyAlignment="1">
      <alignment horizontal="left"/>
    </xf>
    <xf numFmtId="43" fontId="10" fillId="0" borderId="22" xfId="7" applyFont="1" applyBorder="1" applyAlignment="1">
      <alignment horizontal="center"/>
    </xf>
    <xf numFmtId="43" fontId="11" fillId="0" borderId="0" xfId="7" applyFont="1" applyBorder="1" applyAlignment="1">
      <alignment horizontal="center"/>
    </xf>
    <xf numFmtId="43" fontId="11" fillId="0" borderId="7" xfId="7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3" fontId="11" fillId="0" borderId="17" xfId="7" applyFont="1" applyBorder="1"/>
    <xf numFmtId="0" fontId="11" fillId="0" borderId="9" xfId="0" applyFont="1" applyBorder="1"/>
    <xf numFmtId="192" fontId="11" fillId="0" borderId="11" xfId="0" applyNumberFormat="1" applyFont="1" applyBorder="1" applyAlignment="1">
      <alignment horizontal="center"/>
    </xf>
    <xf numFmtId="43" fontId="10" fillId="0" borderId="11" xfId="7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5" xfId="0" applyFont="1" applyBorder="1"/>
    <xf numFmtId="0" fontId="11" fillId="0" borderId="6" xfId="0" applyFont="1" applyBorder="1" applyAlignment="1">
      <alignment horizontal="left"/>
    </xf>
    <xf numFmtId="43" fontId="10" fillId="0" borderId="10" xfId="7" applyFont="1" applyBorder="1" applyAlignment="1">
      <alignment horizontal="center"/>
    </xf>
    <xf numFmtId="43" fontId="11" fillId="0" borderId="6" xfId="7" applyFont="1" applyBorder="1" applyAlignment="1">
      <alignment horizontal="center"/>
    </xf>
    <xf numFmtId="43" fontId="11" fillId="0" borderId="8" xfId="7" applyFont="1" applyBorder="1"/>
    <xf numFmtId="0" fontId="14" fillId="0" borderId="6" xfId="0" applyFont="1" applyBorder="1" applyAlignment="1">
      <alignment horizontal="left"/>
    </xf>
    <xf numFmtId="43" fontId="14" fillId="0" borderId="0" xfId="7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3" fontId="14" fillId="0" borderId="6" xfId="7" applyFont="1" applyBorder="1" applyAlignment="1">
      <alignment horizontal="center"/>
    </xf>
    <xf numFmtId="43" fontId="14" fillId="0" borderId="7" xfId="7" applyFont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left"/>
    </xf>
    <xf numFmtId="41" fontId="14" fillId="0" borderId="7" xfId="7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43" fontId="10" fillId="0" borderId="17" xfId="7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3" fontId="10" fillId="0" borderId="8" xfId="7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43" fontId="10" fillId="0" borderId="0" xfId="7" applyFont="1" applyBorder="1" applyAlignment="1">
      <alignment horizontal="center"/>
    </xf>
    <xf numFmtId="0" fontId="11" fillId="0" borderId="7" xfId="0" applyFont="1" applyBorder="1"/>
    <xf numFmtId="43" fontId="11" fillId="0" borderId="6" xfId="7" applyFont="1" applyBorder="1"/>
    <xf numFmtId="43" fontId="11" fillId="0" borderId="0" xfId="7" applyFont="1" applyBorder="1"/>
    <xf numFmtId="0" fontId="10" fillId="0" borderId="8" xfId="0" applyFont="1" applyBorder="1"/>
    <xf numFmtId="43" fontId="11" fillId="0" borderId="0" xfId="7" applyNumberFormat="1" applyFont="1"/>
    <xf numFmtId="43" fontId="14" fillId="0" borderId="0" xfId="7" applyFont="1"/>
    <xf numFmtId="43" fontId="10" fillId="0" borderId="0" xfId="7" applyNumberFormat="1" applyFont="1" applyAlignment="1">
      <alignment horizontal="center" wrapText="1"/>
    </xf>
    <xf numFmtId="43" fontId="9" fillId="0" borderId="14" xfId="7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23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187" fontId="8" fillId="4" borderId="1" xfId="7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187" fontId="8" fillId="5" borderId="1" xfId="7" applyNumberFormat="1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43" fontId="8" fillId="6" borderId="20" xfId="7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1" xfId="0" applyFont="1" applyFill="1" applyBorder="1"/>
    <xf numFmtId="0" fontId="11" fillId="0" borderId="0" xfId="0" applyFont="1" applyFill="1" applyAlignment="1">
      <alignment horizontal="center"/>
    </xf>
    <xf numFmtId="43" fontId="11" fillId="0" borderId="0" xfId="7" applyFont="1" applyFill="1"/>
    <xf numFmtId="43" fontId="11" fillId="0" borderId="0" xfId="7" applyFont="1" applyFill="1" applyAlignment="1">
      <alignment horizontal="center"/>
    </xf>
    <xf numFmtId="187" fontId="11" fillId="0" borderId="0" xfId="7" applyNumberFormat="1" applyFont="1" applyFill="1" applyAlignment="1">
      <alignment horizontal="center"/>
    </xf>
    <xf numFmtId="43" fontId="8" fillId="0" borderId="1" xfId="7" applyFont="1" applyBorder="1" applyAlignment="1">
      <alignment horizontal="center"/>
    </xf>
    <xf numFmtId="43" fontId="7" fillId="0" borderId="1" xfId="7" applyFont="1" applyFill="1" applyBorder="1" applyAlignment="1">
      <alignment horizontal="left" vertical="center" wrapText="1"/>
    </xf>
    <xf numFmtId="43" fontId="8" fillId="4" borderId="1" xfId="7" applyFont="1" applyFill="1" applyBorder="1" applyAlignment="1">
      <alignment horizontal="right"/>
    </xf>
    <xf numFmtId="43" fontId="8" fillId="5" borderId="1" xfId="7" applyFont="1" applyFill="1" applyBorder="1" applyAlignment="1">
      <alignment horizontal="center" vertical="center" wrapText="1"/>
    </xf>
    <xf numFmtId="43" fontId="8" fillId="6" borderId="20" xfId="7" applyFont="1" applyFill="1" applyBorder="1" applyAlignment="1">
      <alignment horizontal="right"/>
    </xf>
    <xf numFmtId="43" fontId="8" fillId="0" borderId="0" xfId="7" applyFont="1" applyBorder="1" applyAlignment="1">
      <alignment horizontal="center"/>
    </xf>
    <xf numFmtId="43" fontId="9" fillId="0" borderId="14" xfId="7" applyFont="1" applyBorder="1"/>
    <xf numFmtId="43" fontId="6" fillId="0" borderId="0" xfId="7" applyFont="1" applyBorder="1"/>
    <xf numFmtId="43" fontId="7" fillId="0" borderId="0" xfId="7" applyFont="1" applyBorder="1"/>
    <xf numFmtId="0" fontId="10" fillId="0" borderId="7" xfId="7" applyNumberFormat="1" applyFont="1" applyBorder="1" applyAlignment="1">
      <alignment horizontal="center"/>
    </xf>
    <xf numFmtId="43" fontId="7" fillId="0" borderId="1" xfId="7" applyFont="1" applyFill="1" applyBorder="1" applyAlignment="1">
      <alignment horizontal="center" vertical="top" wrapText="1"/>
    </xf>
    <xf numFmtId="43" fontId="7" fillId="0" borderId="1" xfId="7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3" fontId="9" fillId="0" borderId="0" xfId="7" applyFont="1" applyBorder="1"/>
    <xf numFmtId="43" fontId="8" fillId="0" borderId="2" xfId="7" applyFont="1" applyFill="1" applyBorder="1" applyAlignment="1">
      <alignment horizontal="center" vertical="center" wrapText="1"/>
    </xf>
    <xf numFmtId="43" fontId="8" fillId="0" borderId="2" xfId="7" applyFont="1" applyBorder="1" applyAlignment="1">
      <alignment horizontal="center" vertical="center"/>
    </xf>
    <xf numFmtId="43" fontId="8" fillId="4" borderId="2" xfId="7" applyFont="1" applyFill="1" applyBorder="1" applyAlignment="1">
      <alignment horizontal="right"/>
    </xf>
    <xf numFmtId="43" fontId="8" fillId="5" borderId="2" xfId="7" applyFont="1" applyFill="1" applyBorder="1" applyAlignment="1">
      <alignment horizontal="center" vertical="center" wrapText="1"/>
    </xf>
    <xf numFmtId="43" fontId="8" fillId="6" borderId="24" xfId="7" applyFont="1" applyFill="1" applyBorder="1" applyAlignment="1">
      <alignment horizontal="center" vertical="center"/>
    </xf>
    <xf numFmtId="187" fontId="8" fillId="4" borderId="2" xfId="7" applyNumberFormat="1" applyFont="1" applyFill="1" applyBorder="1" applyAlignment="1">
      <alignment horizontal="right"/>
    </xf>
    <xf numFmtId="187" fontId="8" fillId="5" borderId="2" xfId="7" applyNumberFormat="1" applyFont="1" applyFill="1" applyBorder="1" applyAlignment="1">
      <alignment horizontal="center" vertical="center" wrapText="1"/>
    </xf>
    <xf numFmtId="187" fontId="9" fillId="0" borderId="0" xfId="7" applyNumberFormat="1" applyFont="1" applyBorder="1"/>
    <xf numFmtId="43" fontId="7" fillId="0" borderId="1" xfId="7" applyFont="1" applyFill="1" applyBorder="1" applyAlignment="1">
      <alignment vertical="top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43" fontId="21" fillId="0" borderId="0" xfId="7" applyFont="1" applyBorder="1"/>
    <xf numFmtId="43" fontId="21" fillId="0" borderId="0" xfId="7" applyFont="1" applyBorder="1" applyAlignment="1">
      <alignment horizontal="center" vertical="center"/>
    </xf>
    <xf numFmtId="43" fontId="21" fillId="0" borderId="0" xfId="7" applyFont="1" applyFill="1" applyBorder="1"/>
    <xf numFmtId="0" fontId="21" fillId="0" borderId="0" xfId="0" applyFont="1" applyFill="1" applyBorder="1"/>
    <xf numFmtId="0" fontId="22" fillId="0" borderId="0" xfId="0" applyFont="1" applyBorder="1"/>
    <xf numFmtId="43" fontId="22" fillId="0" borderId="0" xfId="7" applyFont="1" applyBorder="1"/>
    <xf numFmtId="43" fontId="22" fillId="0" borderId="0" xfId="7" applyFont="1" applyBorder="1" applyAlignment="1">
      <alignment horizontal="center" vertical="center"/>
    </xf>
    <xf numFmtId="43" fontId="8" fillId="0" borderId="1" xfId="7" applyFont="1" applyFill="1" applyBorder="1" applyAlignment="1">
      <alignment horizontal="center" vertical="top" wrapText="1"/>
    </xf>
    <xf numFmtId="43" fontId="8" fillId="5" borderId="25" xfId="7" applyFont="1" applyFill="1" applyBorder="1" applyAlignment="1">
      <alignment horizontal="center" vertical="center" wrapText="1"/>
    </xf>
    <xf numFmtId="43" fontId="8" fillId="0" borderId="1" xfId="7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3" fontId="8" fillId="0" borderId="2" xfId="7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87" fontId="8" fillId="6" borderId="20" xfId="7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43" fontId="7" fillId="0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center" vertical="center" wrapText="1"/>
    </xf>
    <xf numFmtId="187" fontId="8" fillId="0" borderId="1" xfId="1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3" fontId="8" fillId="4" borderId="1" xfId="7" applyNumberFormat="1" applyFont="1" applyFill="1" applyBorder="1" applyAlignment="1">
      <alignment horizontal="right"/>
    </xf>
    <xf numFmtId="43" fontId="8" fillId="5" borderId="1" xfId="7" applyNumberFormat="1" applyFont="1" applyFill="1" applyBorder="1" applyAlignment="1">
      <alignment horizontal="center" vertical="center" wrapText="1"/>
    </xf>
    <xf numFmtId="43" fontId="8" fillId="6" borderId="20" xfId="7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7" applyNumberFormat="1" applyFont="1" applyFill="1" applyBorder="1" applyAlignment="1">
      <alignment horizontal="center" vertical="center" wrapText="1"/>
    </xf>
    <xf numFmtId="43" fontId="7" fillId="0" borderId="1" xfId="7" applyNumberFormat="1" applyFont="1" applyFill="1" applyBorder="1" applyAlignment="1">
      <alignment horizontal="left" vertical="center" wrapText="1"/>
    </xf>
    <xf numFmtId="43" fontId="7" fillId="0" borderId="1" xfId="7" applyNumberFormat="1" applyFont="1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43" fontId="18" fillId="0" borderId="1" xfId="0" applyNumberFormat="1" applyFont="1" applyBorder="1"/>
    <xf numFmtId="43" fontId="1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187" fontId="17" fillId="0" borderId="22" xfId="7" applyNumberFormat="1" applyFont="1" applyBorder="1" applyAlignment="1">
      <alignment vertical="center"/>
    </xf>
    <xf numFmtId="187" fontId="17" fillId="0" borderId="22" xfId="7" applyNumberFormat="1" applyFont="1" applyBorder="1"/>
    <xf numFmtId="43" fontId="8" fillId="5" borderId="1" xfId="7" applyNumberFormat="1" applyFont="1" applyFill="1" applyBorder="1" applyAlignment="1">
      <alignment horizontal="center" vertical="top" wrapText="1"/>
    </xf>
    <xf numFmtId="43" fontId="18" fillId="0" borderId="1" xfId="0" applyNumberFormat="1" applyFont="1" applyBorder="1" applyAlignment="1">
      <alignment vertical="center"/>
    </xf>
    <xf numFmtId="43" fontId="7" fillId="0" borderId="1" xfId="7" quotePrefix="1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0" fillId="0" borderId="0" xfId="0" applyBorder="1"/>
    <xf numFmtId="43" fontId="7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187" fontId="8" fillId="0" borderId="1" xfId="7" applyNumberFormat="1" applyFont="1" applyFill="1" applyBorder="1" applyAlignment="1">
      <alignment horizontal="center" vertical="top" wrapText="1"/>
    </xf>
    <xf numFmtId="43" fontId="21" fillId="0" borderId="1" xfId="12" applyNumberFormat="1" applyFont="1" applyBorder="1" applyAlignment="1">
      <alignment vertical="top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43" fontId="18" fillId="0" borderId="1" xfId="0" applyNumberFormat="1" applyFont="1" applyBorder="1" applyAlignment="1">
      <alignment horizontal="right"/>
    </xf>
    <xf numFmtId="43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187" fontId="17" fillId="0" borderId="1" xfId="12" applyNumberFormat="1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7" fillId="0" borderId="18" xfId="0" applyFont="1" applyBorder="1" applyAlignment="1">
      <alignment horizontal="right"/>
    </xf>
    <xf numFmtId="187" fontId="17" fillId="0" borderId="12" xfId="12" applyNumberFormat="1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7" fillId="0" borderId="13" xfId="0" applyFont="1" applyBorder="1" applyAlignment="1">
      <alignment horizontal="right"/>
    </xf>
    <xf numFmtId="187" fontId="17" fillId="0" borderId="13" xfId="12" applyNumberFormat="1" applyFont="1" applyBorder="1" applyAlignment="1">
      <alignment horizontal="center" vertical="top"/>
    </xf>
    <xf numFmtId="0" fontId="17" fillId="0" borderId="26" xfId="0" applyFont="1" applyBorder="1" applyAlignment="1">
      <alignment horizontal="center" vertical="top"/>
    </xf>
    <xf numFmtId="0" fontId="17" fillId="0" borderId="26" xfId="0" applyFont="1" applyBorder="1" applyAlignment="1">
      <alignment horizontal="right"/>
    </xf>
    <xf numFmtId="187" fontId="17" fillId="0" borderId="26" xfId="12" applyNumberFormat="1" applyFont="1" applyBorder="1" applyAlignment="1">
      <alignment horizontal="center" vertical="top"/>
    </xf>
    <xf numFmtId="0" fontId="22" fillId="0" borderId="27" xfId="0" applyFont="1" applyBorder="1" applyAlignment="1">
      <alignment horizontal="center" vertical="top"/>
    </xf>
    <xf numFmtId="0" fontId="17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top"/>
    </xf>
    <xf numFmtId="187" fontId="17" fillId="0" borderId="28" xfId="12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0" fontId="18" fillId="0" borderId="29" xfId="0" applyFont="1" applyBorder="1" applyAlignment="1">
      <alignment vertical="top" wrapText="1"/>
    </xf>
    <xf numFmtId="0" fontId="21" fillId="0" borderId="29" xfId="0" applyFont="1" applyBorder="1" applyAlignment="1">
      <alignment horizontal="center" vertical="top" wrapText="1"/>
    </xf>
    <xf numFmtId="187" fontId="18" fillId="0" borderId="30" xfId="12" applyNumberFormat="1" applyFont="1" applyBorder="1" applyAlignment="1">
      <alignment vertical="top"/>
    </xf>
    <xf numFmtId="187" fontId="18" fillId="0" borderId="29" xfId="12" applyNumberFormat="1" applyFont="1" applyBorder="1" applyAlignment="1">
      <alignment vertical="top"/>
    </xf>
    <xf numFmtId="0" fontId="26" fillId="0" borderId="29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187" fontId="17" fillId="0" borderId="26" xfId="12" applyNumberFormat="1" applyFont="1" applyBorder="1" applyAlignment="1">
      <alignment vertical="top"/>
    </xf>
    <xf numFmtId="0" fontId="21" fillId="0" borderId="30" xfId="0" applyFont="1" applyBorder="1" applyAlignment="1">
      <alignment horizontal="center" vertical="top"/>
    </xf>
    <xf numFmtId="0" fontId="18" fillId="0" borderId="30" xfId="0" applyFont="1" applyBorder="1" applyAlignment="1">
      <alignment horizontal="center" vertical="top"/>
    </xf>
    <xf numFmtId="0" fontId="18" fillId="0" borderId="30" xfId="0" applyFont="1" applyBorder="1"/>
    <xf numFmtId="0" fontId="21" fillId="0" borderId="26" xfId="0" applyFont="1" applyBorder="1" applyAlignment="1">
      <alignment horizontal="center" vertical="top"/>
    </xf>
    <xf numFmtId="0" fontId="18" fillId="0" borderId="26" xfId="0" applyFont="1" applyBorder="1" applyAlignment="1">
      <alignment horizontal="center" vertical="top"/>
    </xf>
    <xf numFmtId="0" fontId="18" fillId="0" borderId="26" xfId="0" applyFont="1" applyBorder="1"/>
    <xf numFmtId="187" fontId="18" fillId="0" borderId="26" xfId="12" applyNumberFormat="1" applyFont="1" applyBorder="1" applyAlignment="1">
      <alignment vertical="top"/>
    </xf>
    <xf numFmtId="0" fontId="24" fillId="0" borderId="13" xfId="0" applyFont="1" applyBorder="1"/>
    <xf numFmtId="187" fontId="17" fillId="0" borderId="31" xfId="0" applyNumberFormat="1" applyFont="1" applyBorder="1"/>
    <xf numFmtId="0" fontId="22" fillId="0" borderId="13" xfId="0" applyFont="1" applyBorder="1" applyAlignment="1">
      <alignment horizontal="center"/>
    </xf>
    <xf numFmtId="187" fontId="17" fillId="0" borderId="28" xfId="0" applyNumberFormat="1" applyFont="1" applyBorder="1"/>
    <xf numFmtId="187" fontId="17" fillId="0" borderId="32" xfId="12" applyNumberFormat="1" applyFont="1" applyBorder="1" applyAlignment="1">
      <alignment vertical="top"/>
    </xf>
    <xf numFmtId="0" fontId="22" fillId="0" borderId="31" xfId="0" applyFont="1" applyBorder="1" applyAlignment="1">
      <alignment horizontal="center" vertical="top"/>
    </xf>
    <xf numFmtId="0" fontId="22" fillId="0" borderId="33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18" fillId="0" borderId="13" xfId="0" applyFont="1" applyBorder="1" applyAlignment="1">
      <alignment vertical="top" wrapText="1"/>
    </xf>
    <xf numFmtId="187" fontId="18" fillId="0" borderId="34" xfId="12" applyNumberFormat="1" applyFont="1" applyBorder="1" applyAlignment="1">
      <alignment vertical="top"/>
    </xf>
    <xf numFmtId="0" fontId="17" fillId="0" borderId="13" xfId="0" applyFont="1" applyBorder="1" applyAlignment="1">
      <alignment horizontal="center" wrapText="1"/>
    </xf>
    <xf numFmtId="0" fontId="22" fillId="0" borderId="27" xfId="0" applyFont="1" applyBorder="1" applyAlignment="1">
      <alignment horizontal="center" vertical="center"/>
    </xf>
    <xf numFmtId="43" fontId="8" fillId="0" borderId="0" xfId="7" applyFont="1" applyFill="1" applyBorder="1" applyAlignment="1">
      <alignment horizontal="center" vertical="center" wrapText="1"/>
    </xf>
    <xf numFmtId="43" fontId="8" fillId="0" borderId="0" xfId="7" applyFont="1" applyFill="1" applyBorder="1" applyAlignment="1">
      <alignment vertical="center" wrapText="1"/>
    </xf>
    <xf numFmtId="43" fontId="8" fillId="0" borderId="0" xfId="7" applyFont="1" applyFill="1" applyBorder="1" applyAlignment="1">
      <alignment horizontal="right"/>
    </xf>
    <xf numFmtId="43" fontId="8" fillId="0" borderId="0" xfId="7" applyFont="1" applyFill="1" applyBorder="1" applyAlignment="1">
      <alignment horizontal="center" vertical="center"/>
    </xf>
    <xf numFmtId="187" fontId="8" fillId="0" borderId="0" xfId="7" applyNumberFormat="1" applyFont="1" applyFill="1" applyBorder="1" applyAlignment="1">
      <alignment horizontal="right"/>
    </xf>
    <xf numFmtId="187" fontId="8" fillId="0" borderId="0" xfId="7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43" fontId="7" fillId="0" borderId="0" xfId="0" applyNumberFormat="1" applyFont="1" applyBorder="1"/>
    <xf numFmtId="0" fontId="7" fillId="0" borderId="0" xfId="0" applyNumberFormat="1" applyFont="1" applyBorder="1"/>
    <xf numFmtId="0" fontId="27" fillId="0" borderId="0" xfId="0" applyFont="1" applyFill="1" applyBorder="1"/>
    <xf numFmtId="43" fontId="27" fillId="0" borderId="0" xfId="0" applyNumberFormat="1" applyFont="1" applyFill="1" applyBorder="1" applyAlignment="1">
      <alignment vertical="center" wrapText="1"/>
    </xf>
    <xf numFmtId="43" fontId="27" fillId="0" borderId="0" xfId="0" applyNumberFormat="1" applyFont="1" applyFill="1" applyBorder="1"/>
    <xf numFmtId="0" fontId="27" fillId="0" borderId="0" xfId="0" applyFont="1" applyFill="1" applyBorder="1" applyAlignment="1">
      <alignment vertical="center" wrapText="1"/>
    </xf>
    <xf numFmtId="0" fontId="27" fillId="0" borderId="0" xfId="0" applyFont="1" applyBorder="1"/>
    <xf numFmtId="43" fontId="27" fillId="0" borderId="0" xfId="0" applyNumberFormat="1" applyFont="1" applyBorder="1"/>
    <xf numFmtId="0" fontId="27" fillId="0" borderId="0" xfId="0" applyNumberFormat="1" applyFont="1" applyBorder="1"/>
    <xf numFmtId="0" fontId="27" fillId="0" borderId="0" xfId="7" applyNumberFormat="1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7" applyNumberFormat="1" applyFont="1" applyFill="1" applyBorder="1" applyAlignment="1">
      <alignment vertical="center" wrapText="1"/>
    </xf>
    <xf numFmtId="43" fontId="27" fillId="0" borderId="0" xfId="7" applyFont="1" applyFill="1" applyBorder="1" applyAlignment="1">
      <alignment vertical="center" wrapText="1"/>
    </xf>
    <xf numFmtId="0" fontId="27" fillId="0" borderId="0" xfId="7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43" fontId="28" fillId="0" borderId="0" xfId="0" applyNumberFormat="1" applyFont="1" applyFill="1" applyBorder="1"/>
    <xf numFmtId="0" fontId="28" fillId="0" borderId="23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top" wrapText="1"/>
    </xf>
    <xf numFmtId="43" fontId="28" fillId="0" borderId="0" xfId="0" applyNumberFormat="1" applyFont="1" applyFill="1" applyBorder="1" applyAlignment="1">
      <alignment vertical="center" wrapText="1"/>
    </xf>
    <xf numFmtId="0" fontId="27" fillId="0" borderId="21" xfId="0" applyFont="1" applyFill="1" applyBorder="1"/>
    <xf numFmtId="0" fontId="28" fillId="0" borderId="0" xfId="14" applyNumberFormat="1" applyFont="1" applyFill="1" applyBorder="1" applyAlignment="1">
      <alignment horizontal="center"/>
    </xf>
    <xf numFmtId="0" fontId="28" fillId="0" borderId="0" xfId="7" applyNumberFormat="1" applyFont="1" applyFill="1" applyBorder="1" applyAlignment="1">
      <alignment horizontal="center" vertical="center" wrapText="1"/>
    </xf>
    <xf numFmtId="0" fontId="28" fillId="0" borderId="0" xfId="7" applyNumberFormat="1" applyFont="1" applyFill="1" applyBorder="1" applyAlignment="1">
      <alignment horizontal="right"/>
    </xf>
    <xf numFmtId="0" fontId="28" fillId="0" borderId="0" xfId="7" applyNumberFormat="1" applyFont="1" applyFill="1" applyBorder="1" applyAlignment="1">
      <alignment vertical="center" wrapText="1"/>
    </xf>
    <xf numFmtId="0" fontId="28" fillId="0" borderId="0" xfId="7" applyNumberFormat="1" applyFont="1" applyFill="1" applyBorder="1" applyAlignment="1">
      <alignment horizontal="center" vertical="center"/>
    </xf>
    <xf numFmtId="43" fontId="28" fillId="0" borderId="0" xfId="0" applyNumberFormat="1" applyFont="1" applyFill="1" applyBorder="1" applyAlignment="1">
      <alignment vertical="top" wrapText="1"/>
    </xf>
    <xf numFmtId="0" fontId="28" fillId="0" borderId="0" xfId="7" applyNumberFormat="1" applyFont="1" applyFill="1" applyBorder="1" applyAlignment="1">
      <alignment vertical="top" wrapText="1"/>
    </xf>
    <xf numFmtId="0" fontId="28" fillId="0" borderId="0" xfId="14" applyNumberFormat="1" applyFont="1" applyBorder="1" applyAlignment="1">
      <alignment horizontal="center"/>
    </xf>
    <xf numFmtId="0" fontId="27" fillId="0" borderId="0" xfId="1" applyNumberFormat="1" applyFont="1" applyFill="1" applyBorder="1" applyAlignment="1">
      <alignment vertical="center" wrapText="1"/>
    </xf>
    <xf numFmtId="187" fontId="28" fillId="0" borderId="0" xfId="14" applyNumberFormat="1" applyFont="1" applyBorder="1" applyAlignment="1">
      <alignment horizontal="center"/>
    </xf>
    <xf numFmtId="43" fontId="27" fillId="0" borderId="0" xfId="7" applyFont="1" applyFill="1" applyBorder="1"/>
    <xf numFmtId="43" fontId="28" fillId="0" borderId="0" xfId="7" applyFont="1" applyFill="1" applyBorder="1" applyAlignment="1">
      <alignment horizontal="center" vertical="center" wrapText="1"/>
    </xf>
    <xf numFmtId="43" fontId="28" fillId="0" borderId="0" xfId="7" applyFont="1" applyFill="1" applyBorder="1" applyAlignment="1">
      <alignment horizontal="right"/>
    </xf>
    <xf numFmtId="43" fontId="28" fillId="0" borderId="0" xfId="7" applyFont="1" applyFill="1" applyBorder="1" applyAlignment="1">
      <alignment vertical="center" wrapText="1"/>
    </xf>
    <xf numFmtId="43" fontId="28" fillId="0" borderId="0" xfId="7" applyFont="1" applyFill="1" applyBorder="1" applyAlignment="1">
      <alignment horizontal="center" vertical="center"/>
    </xf>
    <xf numFmtId="187" fontId="28" fillId="0" borderId="0" xfId="14" applyNumberFormat="1" applyFont="1" applyFill="1" applyBorder="1" applyAlignment="1">
      <alignment horizontal="center"/>
    </xf>
    <xf numFmtId="43" fontId="28" fillId="0" borderId="0" xfId="1" applyFont="1" applyFill="1" applyBorder="1" applyAlignment="1">
      <alignment vertical="center" wrapText="1"/>
    </xf>
    <xf numFmtId="187" fontId="28" fillId="0" borderId="0" xfId="7" applyNumberFormat="1" applyFont="1" applyFill="1" applyBorder="1" applyAlignment="1">
      <alignment horizontal="right"/>
    </xf>
    <xf numFmtId="187" fontId="28" fillId="0" borderId="0" xfId="7" applyNumberFormat="1" applyFont="1" applyFill="1" applyBorder="1" applyAlignment="1">
      <alignment horizontal="center" vertical="center" wrapText="1"/>
    </xf>
    <xf numFmtId="43" fontId="8" fillId="7" borderId="1" xfId="7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43" fontId="8" fillId="7" borderId="1" xfId="7" applyFont="1" applyFill="1" applyBorder="1" applyAlignment="1">
      <alignment horizontal="center" vertical="top" wrapText="1"/>
    </xf>
    <xf numFmtId="187" fontId="8" fillId="7" borderId="1" xfId="7" applyNumberFormat="1" applyFont="1" applyFill="1" applyBorder="1" applyAlignment="1">
      <alignment horizontal="center" vertical="center" wrapText="1"/>
    </xf>
    <xf numFmtId="187" fontId="8" fillId="7" borderId="1" xfId="7" applyNumberFormat="1" applyFont="1" applyFill="1" applyBorder="1" applyAlignment="1">
      <alignment horizontal="center" vertical="top" wrapText="1"/>
    </xf>
    <xf numFmtId="43" fontId="8" fillId="0" borderId="0" xfId="12" applyFont="1" applyBorder="1" applyAlignment="1">
      <alignment horizontal="center"/>
    </xf>
    <xf numFmtId="43" fontId="8" fillId="0" borderId="1" xfId="12" applyFont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 wrapText="1"/>
    </xf>
    <xf numFmtId="43" fontId="8" fillId="7" borderId="1" xfId="8" quotePrefix="1" applyFont="1" applyFill="1" applyBorder="1" applyAlignment="1">
      <alignment horizontal="left" vertical="top" wrapText="1"/>
    </xf>
    <xf numFmtId="43" fontId="8" fillId="0" borderId="1" xfId="8" quotePrefix="1" applyFont="1" applyFill="1" applyBorder="1" applyAlignment="1">
      <alignment horizontal="left" vertical="top" wrapText="1"/>
    </xf>
    <xf numFmtId="43" fontId="8" fillId="4" borderId="1" xfId="12" applyFont="1" applyFill="1" applyBorder="1" applyAlignment="1">
      <alignment horizontal="right"/>
    </xf>
    <xf numFmtId="43" fontId="8" fillId="5" borderId="1" xfId="12" applyFont="1" applyFill="1" applyBorder="1" applyAlignment="1">
      <alignment horizontal="center" vertical="center" wrapText="1"/>
    </xf>
    <xf numFmtId="43" fontId="8" fillId="6" borderId="20" xfId="12" applyFont="1" applyFill="1" applyBorder="1" applyAlignment="1">
      <alignment horizontal="center" vertical="center"/>
    </xf>
    <xf numFmtId="43" fontId="8" fillId="0" borderId="0" xfId="12" applyFont="1" applyFill="1" applyBorder="1" applyAlignment="1">
      <alignment horizontal="center" vertical="center" wrapText="1"/>
    </xf>
    <xf numFmtId="43" fontId="8" fillId="0" borderId="0" xfId="12" applyFont="1" applyBorder="1" applyAlignment="1">
      <alignment horizontal="center" vertical="center"/>
    </xf>
    <xf numFmtId="43" fontId="9" fillId="0" borderId="0" xfId="12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3" fontId="7" fillId="0" borderId="0" xfId="7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16" xfId="7" applyFont="1" applyBorder="1" applyAlignment="1">
      <alignment horizontal="center" vertical="center"/>
    </xf>
    <xf numFmtId="43" fontId="10" fillId="0" borderId="23" xfId="7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/>
    </xf>
    <xf numFmtId="49" fontId="8" fillId="4" borderId="2" xfId="7" applyNumberFormat="1" applyFont="1" applyFill="1" applyBorder="1" applyAlignment="1">
      <alignment horizontal="right"/>
    </xf>
    <xf numFmtId="49" fontId="8" fillId="4" borderId="1" xfId="7" applyNumberFormat="1" applyFont="1" applyFill="1" applyBorder="1" applyAlignment="1">
      <alignment horizontal="right"/>
    </xf>
    <xf numFmtId="49" fontId="8" fillId="0" borderId="2" xfId="7" applyNumberFormat="1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vertical="center" wrapText="1"/>
    </xf>
    <xf numFmtId="0" fontId="8" fillId="0" borderId="0" xfId="0" applyFont="1" applyBorder="1"/>
    <xf numFmtId="0" fontId="28" fillId="0" borderId="0" xfId="0" applyFont="1" applyBorder="1"/>
    <xf numFmtId="43" fontId="28" fillId="0" borderId="0" xfId="0" applyNumberFormat="1" applyFont="1" applyBorder="1"/>
    <xf numFmtId="0" fontId="28" fillId="0" borderId="0" xfId="0" applyNumberFormat="1" applyFont="1" applyBorder="1"/>
    <xf numFmtId="43" fontId="8" fillId="0" borderId="0" xfId="7" applyFont="1" applyFill="1" applyBorder="1"/>
    <xf numFmtId="0" fontId="28" fillId="0" borderId="0" xfId="7" applyNumberFormat="1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43" fontId="8" fillId="0" borderId="1" xfId="7" applyFont="1" applyFill="1" applyBorder="1"/>
    <xf numFmtId="0" fontId="29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43" fontId="8" fillId="7" borderId="1" xfId="7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7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horizontal="left" vertical="center" wrapText="1"/>
    </xf>
    <xf numFmtId="0" fontId="28" fillId="0" borderId="21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43" fontId="9" fillId="0" borderId="0" xfId="7" applyFont="1" applyFill="1" applyBorder="1"/>
    <xf numFmtId="0" fontId="9" fillId="0" borderId="0" xfId="0" applyFont="1" applyFill="1" applyBorder="1"/>
    <xf numFmtId="0" fontId="8" fillId="0" borderId="0" xfId="0" applyFont="1" applyBorder="1" applyAlignment="1">
      <alignment horizontal="center"/>
    </xf>
    <xf numFmtId="43" fontId="8" fillId="0" borderId="0" xfId="7" applyFont="1" applyBorder="1"/>
    <xf numFmtId="43" fontId="8" fillId="0" borderId="0" xfId="7" applyFont="1" applyBorder="1" applyAlignment="1">
      <alignment horizontal="center" vertical="center"/>
    </xf>
    <xf numFmtId="43" fontId="8" fillId="0" borderId="1" xfId="8" quotePrefix="1" applyFont="1" applyFill="1" applyBorder="1" applyAlignment="1">
      <alignment horizontal="center" vertical="top" wrapText="1"/>
    </xf>
    <xf numFmtId="43" fontId="8" fillId="0" borderId="1" xfId="11" quotePrefix="1" applyFont="1" applyFill="1" applyBorder="1" applyAlignment="1">
      <alignment horizontal="left" vertical="top" wrapText="1"/>
    </xf>
    <xf numFmtId="43" fontId="8" fillId="0" borderId="1" xfId="11" applyFont="1" applyFill="1" applyBorder="1" applyAlignment="1">
      <alignment horizontal="center" vertical="top" wrapText="1"/>
    </xf>
    <xf numFmtId="43" fontId="8" fillId="0" borderId="1" xfId="1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center" vertical="top" wrapText="1"/>
    </xf>
    <xf numFmtId="43" fontId="8" fillId="7" borderId="1" xfId="8" applyFont="1" applyFill="1" applyBorder="1" applyAlignment="1">
      <alignment horizontal="left" vertical="top" wrapText="1"/>
    </xf>
    <xf numFmtId="43" fontId="8" fillId="0" borderId="1" xfId="7" applyNumberFormat="1" applyFont="1" applyFill="1" applyBorder="1" applyAlignment="1">
      <alignment vertical="center" wrapText="1"/>
    </xf>
    <xf numFmtId="43" fontId="8" fillId="0" borderId="1" xfId="7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top" wrapText="1"/>
    </xf>
    <xf numFmtId="43" fontId="8" fillId="0" borderId="1" xfId="8" applyFont="1" applyFill="1" applyBorder="1" applyAlignment="1">
      <alignment horizontal="left" vertical="top" wrapText="1"/>
    </xf>
    <xf numFmtId="43" fontId="8" fillId="0" borderId="1" xfId="8" applyNumberFormat="1" applyFont="1" applyFill="1" applyBorder="1" applyAlignment="1">
      <alignment horizontal="center" vertical="top" wrapText="1"/>
    </xf>
    <xf numFmtId="187" fontId="8" fillId="0" borderId="1" xfId="7" applyNumberFormat="1" applyFont="1" applyFill="1" applyBorder="1" applyAlignment="1">
      <alignment vertical="center" wrapText="1"/>
    </xf>
    <xf numFmtId="0" fontId="28" fillId="0" borderId="6" xfId="7" applyNumberFormat="1" applyFont="1" applyFill="1" applyBorder="1" applyAlignment="1">
      <alignment horizontal="center" vertical="center" wrapText="1"/>
    </xf>
    <xf numFmtId="0" fontId="28" fillId="0" borderId="6" xfId="7" applyNumberFormat="1" applyFont="1" applyFill="1" applyBorder="1" applyAlignment="1">
      <alignment horizontal="center" vertical="center"/>
    </xf>
    <xf numFmtId="187" fontId="8" fillId="7" borderId="1" xfId="7" applyNumberFormat="1" applyFont="1" applyFill="1" applyBorder="1" applyAlignment="1">
      <alignment vertical="top" wrapText="1"/>
    </xf>
    <xf numFmtId="43" fontId="8" fillId="7" borderId="1" xfId="7" applyFont="1" applyFill="1" applyBorder="1" applyAlignment="1">
      <alignment horizontal="left" vertical="top" wrapText="1"/>
    </xf>
    <xf numFmtId="0" fontId="30" fillId="7" borderId="1" xfId="0" applyFont="1" applyFill="1" applyBorder="1" applyAlignment="1">
      <alignment horizontal="center" vertical="top" wrapText="1"/>
    </xf>
    <xf numFmtId="187" fontId="8" fillId="0" borderId="1" xfId="7" applyNumberFormat="1" applyFont="1" applyFill="1" applyBorder="1" applyAlignment="1">
      <alignment vertical="top" wrapText="1"/>
    </xf>
    <xf numFmtId="43" fontId="8" fillId="0" borderId="1" xfId="7" applyFont="1" applyFill="1" applyBorder="1" applyAlignment="1">
      <alignment horizontal="left" vertical="top" wrapText="1"/>
    </xf>
    <xf numFmtId="43" fontId="8" fillId="0" borderId="1" xfId="8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87" fontId="8" fillId="0" borderId="1" xfId="8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vertical="top" wrapText="1"/>
    </xf>
    <xf numFmtId="0" fontId="32" fillId="0" borderId="0" xfId="0" applyFont="1" applyFill="1"/>
    <xf numFmtId="0" fontId="33" fillId="0" borderId="0" xfId="0" applyFont="1"/>
    <xf numFmtId="0" fontId="17" fillId="0" borderId="1" xfId="0" applyFont="1" applyFill="1" applyBorder="1" applyAlignment="1">
      <alignment horizontal="center" vertical="top"/>
    </xf>
    <xf numFmtId="190" fontId="8" fillId="0" borderId="1" xfId="7" applyNumberFormat="1" applyFont="1" applyFill="1" applyBorder="1" applyAlignment="1">
      <alignment horizontal="left" vertical="center" wrapText="1"/>
    </xf>
    <xf numFmtId="0" fontId="9" fillId="7" borderId="1" xfId="6" applyFont="1" applyFill="1" applyBorder="1" applyAlignment="1">
      <alignment horizontal="left" vertical="top" wrapText="1"/>
    </xf>
    <xf numFmtId="187" fontId="8" fillId="7" borderId="15" xfId="7" applyNumberFormat="1" applyFont="1" applyFill="1" applyBorder="1" applyAlignment="1">
      <alignment horizontal="center" vertical="top" wrapText="1"/>
    </xf>
    <xf numFmtId="0" fontId="9" fillId="0" borderId="1" xfId="6" applyFont="1" applyBorder="1" applyAlignment="1">
      <alignment horizontal="left" vertical="top" wrapText="1"/>
    </xf>
    <xf numFmtId="187" fontId="8" fillId="0" borderId="15" xfId="7" applyNumberFormat="1" applyFont="1" applyFill="1" applyBorder="1" applyAlignment="1">
      <alignment horizontal="center" vertical="top" wrapText="1"/>
    </xf>
    <xf numFmtId="0" fontId="9" fillId="0" borderId="15" xfId="6" applyFont="1" applyBorder="1" applyAlignment="1">
      <alignment horizontal="left" vertical="top" wrapText="1"/>
    </xf>
    <xf numFmtId="0" fontId="8" fillId="0" borderId="1" xfId="15" applyFont="1" applyFill="1" applyBorder="1" applyAlignment="1">
      <alignment horizontal="center" vertical="top" wrapText="1"/>
    </xf>
    <xf numFmtId="0" fontId="28" fillId="0" borderId="0" xfId="0" applyNumberFormat="1" applyFont="1" applyFill="1" applyBorder="1"/>
    <xf numFmtId="43" fontId="8" fillId="0" borderId="0" xfId="0" applyNumberFormat="1" applyFont="1" applyBorder="1"/>
    <xf numFmtId="0" fontId="22" fillId="7" borderId="1" xfId="0" applyFont="1" applyFill="1" applyBorder="1" applyAlignment="1">
      <alignment vertical="top" wrapText="1"/>
    </xf>
    <xf numFmtId="43" fontId="22" fillId="7" borderId="1" xfId="12" applyNumberFormat="1" applyFont="1" applyFill="1" applyBorder="1" applyAlignment="1">
      <alignment vertical="top"/>
    </xf>
    <xf numFmtId="0" fontId="22" fillId="7" borderId="1" xfId="0" applyFont="1" applyFill="1" applyBorder="1" applyAlignment="1">
      <alignment vertical="top"/>
    </xf>
    <xf numFmtId="0" fontId="22" fillId="0" borderId="1" xfId="0" applyFont="1" applyBorder="1" applyAlignment="1">
      <alignment vertical="top"/>
    </xf>
    <xf numFmtId="43" fontId="22" fillId="0" borderId="1" xfId="12" applyNumberFormat="1" applyFont="1" applyFill="1" applyBorder="1" applyAlignment="1">
      <alignment vertical="top"/>
    </xf>
    <xf numFmtId="190" fontId="8" fillId="0" borderId="1" xfId="7" applyNumberFormat="1" applyFont="1" applyFill="1" applyBorder="1" applyAlignment="1">
      <alignment horizontal="center" vertical="center" wrapText="1"/>
    </xf>
    <xf numFmtId="43" fontId="8" fillId="0" borderId="15" xfId="7" applyFont="1" applyFill="1" applyBorder="1" applyAlignment="1">
      <alignment horizontal="center" vertical="center" wrapText="1"/>
    </xf>
    <xf numFmtId="43" fontId="8" fillId="0" borderId="15" xfId="1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3" fontId="22" fillId="0" borderId="1" xfId="12" applyNumberFormat="1" applyFont="1" applyBorder="1" applyAlignment="1">
      <alignment vertical="top"/>
    </xf>
    <xf numFmtId="43" fontId="8" fillId="7" borderId="1" xfId="7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3" fontId="8" fillId="0" borderId="1" xfId="7" applyNumberFormat="1" applyFont="1" applyFill="1" applyBorder="1" applyAlignment="1">
      <alignment vertical="top" wrapText="1"/>
    </xf>
    <xf numFmtId="43" fontId="8" fillId="7" borderId="1" xfId="7" applyFont="1" applyFill="1" applyBorder="1" applyAlignment="1">
      <alignment horizontal="left" vertical="center" wrapText="1"/>
    </xf>
    <xf numFmtId="12" fontId="8" fillId="7" borderId="1" xfId="7" applyNumberFormat="1" applyFont="1" applyFill="1" applyBorder="1" applyAlignment="1">
      <alignment horizontal="left" vertical="top" wrapText="1"/>
    </xf>
    <xf numFmtId="12" fontId="8" fillId="0" borderId="1" xfId="7" applyNumberFormat="1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horizontal="left" vertical="top" wrapText="1"/>
    </xf>
    <xf numFmtId="43" fontId="28" fillId="0" borderId="0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top" wrapText="1"/>
    </xf>
    <xf numFmtId="0" fontId="34" fillId="7" borderId="1" xfId="0" applyFont="1" applyFill="1" applyBorder="1" applyAlignment="1">
      <alignment horizontal="center" vertical="top" wrapText="1"/>
    </xf>
    <xf numFmtId="43" fontId="8" fillId="7" borderId="2" xfId="7" applyFont="1" applyFill="1" applyBorder="1" applyAlignment="1">
      <alignment horizontal="center" vertical="center" wrapText="1"/>
    </xf>
    <xf numFmtId="43" fontId="8" fillId="0" borderId="1" xfId="10" applyFont="1" applyFill="1" applyBorder="1" applyAlignment="1">
      <alignment horizontal="left" vertical="top" wrapText="1"/>
    </xf>
    <xf numFmtId="0" fontId="35" fillId="7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43" fontId="8" fillId="7" borderId="2" xfId="7" applyFont="1" applyFill="1" applyBorder="1" applyAlignment="1">
      <alignment horizontal="center" vertical="top" wrapText="1"/>
    </xf>
    <xf numFmtId="43" fontId="8" fillId="7" borderId="1" xfId="7" applyFont="1" applyFill="1" applyBorder="1" applyAlignment="1">
      <alignment vertical="top" wrapText="1"/>
    </xf>
    <xf numFmtId="43" fontId="8" fillId="0" borderId="2" xfId="7" applyFont="1" applyFill="1" applyBorder="1" applyAlignment="1">
      <alignment horizontal="left" vertical="top" wrapText="1"/>
    </xf>
    <xf numFmtId="43" fontId="8" fillId="7" borderId="2" xfId="7" applyFont="1" applyFill="1" applyBorder="1" applyAlignment="1">
      <alignment horizontal="left" vertical="top" wrapText="1"/>
    </xf>
    <xf numFmtId="0" fontId="22" fillId="7" borderId="1" xfId="0" applyNumberFormat="1" applyFont="1" applyFill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37" fillId="7" borderId="1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center" vertical="top" wrapText="1"/>
    </xf>
    <xf numFmtId="187" fontId="8" fillId="0" borderId="0" xfId="7" applyNumberFormat="1" applyFont="1" applyFill="1" applyBorder="1" applyAlignment="1">
      <alignment vertical="center" wrapText="1"/>
    </xf>
    <xf numFmtId="187" fontId="8" fillId="0" borderId="0" xfId="7" applyNumberFormat="1" applyFont="1" applyBorder="1"/>
    <xf numFmtId="0" fontId="8" fillId="4" borderId="1" xfId="0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43" fontId="8" fillId="4" borderId="1" xfId="7" applyNumberFormat="1" applyFont="1" applyFill="1" applyBorder="1" applyAlignment="1">
      <alignment horizontal="center" vertical="top" wrapText="1"/>
    </xf>
    <xf numFmtId="43" fontId="8" fillId="4" borderId="1" xfId="7" applyFont="1" applyFill="1" applyBorder="1" applyAlignment="1">
      <alignment horizontal="center" vertical="top" wrapText="1"/>
    </xf>
    <xf numFmtId="43" fontId="8" fillId="4" borderId="1" xfId="7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3" fontId="8" fillId="0" borderId="1" xfId="7" quotePrefix="1" applyFont="1" applyFill="1" applyBorder="1" applyAlignment="1">
      <alignment horizontal="left" vertical="top" wrapText="1"/>
    </xf>
    <xf numFmtId="0" fontId="38" fillId="7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43" fontId="8" fillId="0" borderId="18" xfId="7" applyFont="1" applyFill="1" applyBorder="1" applyAlignment="1">
      <alignment horizontal="center" vertical="top" wrapText="1"/>
    </xf>
    <xf numFmtId="43" fontId="8" fillId="7" borderId="18" xfId="7" applyFont="1" applyFill="1" applyBorder="1" applyAlignment="1">
      <alignment horizontal="center" vertical="top" wrapText="1"/>
    </xf>
    <xf numFmtId="0" fontId="39" fillId="7" borderId="1" xfId="0" applyFont="1" applyFill="1" applyBorder="1" applyAlignment="1">
      <alignment horizontal="center" vertical="top" wrapText="1"/>
    </xf>
    <xf numFmtId="49" fontId="8" fillId="7" borderId="1" xfId="8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center" vertical="top" wrapText="1"/>
    </xf>
    <xf numFmtId="49" fontId="8" fillId="0" borderId="1" xfId="8" applyNumberFormat="1" applyFont="1" applyFill="1" applyBorder="1" applyAlignment="1">
      <alignment horizontal="left" vertical="top" wrapText="1"/>
    </xf>
    <xf numFmtId="49" fontId="8" fillId="0" borderId="1" xfId="7" applyNumberFormat="1" applyFont="1" applyFill="1" applyBorder="1" applyAlignment="1">
      <alignment horizontal="left" vertical="center" wrapText="1"/>
    </xf>
    <xf numFmtId="0" fontId="9" fillId="7" borderId="1" xfId="15" applyFont="1" applyFill="1" applyBorder="1" applyAlignment="1">
      <alignment horizontal="left" vertical="top" wrapText="1"/>
    </xf>
    <xf numFmtId="43" fontId="9" fillId="7" borderId="15" xfId="12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43" fontId="8" fillId="7" borderId="2" xfId="10" applyFont="1" applyFill="1" applyBorder="1" applyAlignment="1">
      <alignment horizontal="left" vertical="top" wrapText="1"/>
    </xf>
    <xf numFmtId="43" fontId="8" fillId="0" borderId="2" xfId="10" applyFont="1" applyFill="1" applyBorder="1" applyAlignment="1">
      <alignment horizontal="left" vertical="top" wrapText="1"/>
    </xf>
    <xf numFmtId="43" fontId="8" fillId="7" borderId="13" xfId="7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43" fontId="8" fillId="7" borderId="1" xfId="7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3" fontId="8" fillId="0" borderId="1" xfId="1" applyFont="1" applyFill="1" applyBorder="1" applyAlignment="1">
      <alignment vertical="top" wrapText="1"/>
    </xf>
    <xf numFmtId="187" fontId="8" fillId="0" borderId="1" xfId="1" applyNumberFormat="1" applyFont="1" applyFill="1" applyBorder="1" applyAlignment="1">
      <alignment horizontal="center" vertical="top" wrapText="1"/>
    </xf>
    <xf numFmtId="43" fontId="8" fillId="0" borderId="1" xfId="1" applyFont="1" applyFill="1" applyBorder="1" applyAlignment="1">
      <alignment horizontal="left" vertical="top" wrapText="1"/>
    </xf>
    <xf numFmtId="0" fontId="28" fillId="0" borderId="0" xfId="1" applyNumberFormat="1" applyFont="1" applyFill="1" applyBorder="1" applyAlignment="1">
      <alignment vertical="center" wrapText="1"/>
    </xf>
    <xf numFmtId="0" fontId="8" fillId="0" borderId="0" xfId="0" applyNumberFormat="1" applyFont="1" applyFill="1" applyBorder="1"/>
    <xf numFmtId="0" fontId="8" fillId="0" borderId="0" xfId="0" applyNumberFormat="1" applyFont="1" applyBorder="1"/>
    <xf numFmtId="0" fontId="22" fillId="0" borderId="1" xfId="0" applyFont="1" applyBorder="1" applyAlignment="1">
      <alignment horizontal="center" vertical="top" wrapText="1"/>
    </xf>
    <xf numFmtId="0" fontId="22" fillId="4" borderId="1" xfId="0" applyFont="1" applyFill="1" applyBorder="1" applyAlignment="1">
      <alignment vertical="top" wrapText="1"/>
    </xf>
    <xf numFmtId="43" fontId="22" fillId="4" borderId="1" xfId="12" applyNumberFormat="1" applyFont="1" applyFill="1" applyBorder="1" applyAlignment="1">
      <alignment vertical="top"/>
    </xf>
    <xf numFmtId="43" fontId="8" fillId="4" borderId="1" xfId="7" applyFont="1" applyFill="1" applyBorder="1" applyAlignment="1">
      <alignment horizontal="center" vertical="center" wrapText="1"/>
    </xf>
    <xf numFmtId="43" fontId="8" fillId="0" borderId="1" xfId="7" applyFont="1" applyFill="1" applyBorder="1" applyAlignment="1" applyProtection="1">
      <alignment horizontal="center" vertical="center" wrapText="1"/>
      <protection locked="0"/>
    </xf>
    <xf numFmtId="43" fontId="8" fillId="0" borderId="1" xfId="7" applyFont="1" applyFill="1" applyBorder="1" applyAlignment="1" applyProtection="1">
      <alignment vertical="center" wrapText="1"/>
      <protection locked="0"/>
    </xf>
    <xf numFmtId="43" fontId="8" fillId="0" borderId="1" xfId="7" applyFont="1" applyFill="1" applyBorder="1" applyAlignment="1" applyProtection="1">
      <alignment horizontal="left" vertical="top" wrapText="1"/>
      <protection locked="0"/>
    </xf>
    <xf numFmtId="43" fontId="8" fillId="0" borderId="1" xfId="7" applyFont="1" applyFill="1" applyBorder="1" applyAlignment="1" applyProtection="1">
      <alignment horizontal="right" vertical="top" wrapText="1"/>
      <protection locked="0"/>
    </xf>
    <xf numFmtId="43" fontId="8" fillId="7" borderId="1" xfId="7" applyNumberFormat="1" applyFont="1" applyFill="1" applyBorder="1" applyAlignment="1">
      <alignment horizontal="left" vertical="top" wrapText="1"/>
    </xf>
    <xf numFmtId="43" fontId="8" fillId="7" borderId="1" xfId="7" applyFont="1" applyFill="1" applyBorder="1" applyAlignment="1" applyProtection="1">
      <alignment horizontal="left" vertical="top" wrapText="1"/>
      <protection locked="0"/>
    </xf>
    <xf numFmtId="43" fontId="8" fillId="7" borderId="1" xfId="7" applyFont="1" applyFill="1" applyBorder="1" applyAlignment="1" applyProtection="1">
      <alignment horizontal="center" vertical="center" wrapText="1"/>
      <protection locked="0"/>
    </xf>
    <xf numFmtId="43" fontId="8" fillId="7" borderId="1" xfId="7" applyFont="1" applyFill="1" applyBorder="1" applyAlignment="1" applyProtection="1">
      <alignment vertical="center" wrapText="1"/>
      <protection locked="0"/>
    </xf>
    <xf numFmtId="12" fontId="8" fillId="7" borderId="1" xfId="7" applyNumberFormat="1" applyFont="1" applyFill="1" applyBorder="1" applyAlignment="1" applyProtection="1">
      <alignment horizontal="left" vertical="top" wrapText="1"/>
      <protection locked="0"/>
    </xf>
    <xf numFmtId="43" fontId="8" fillId="7" borderId="1" xfId="7" applyFont="1" applyFill="1" applyBorder="1" applyAlignment="1" applyProtection="1">
      <alignment horizontal="center" vertical="top" wrapText="1"/>
      <protection locked="0"/>
    </xf>
    <xf numFmtId="187" fontId="8" fillId="4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vertical="center" wrapText="1"/>
    </xf>
    <xf numFmtId="43" fontId="8" fillId="0" borderId="1" xfId="1" applyFont="1" applyFill="1" applyBorder="1" applyAlignment="1">
      <alignment horizontal="left" vertical="center" wrapText="1"/>
    </xf>
    <xf numFmtId="43" fontId="28" fillId="0" borderId="0" xfId="7" applyFont="1" applyFill="1" applyBorder="1"/>
    <xf numFmtId="187" fontId="8" fillId="0" borderId="1" xfId="7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top"/>
    </xf>
    <xf numFmtId="43" fontId="8" fillId="0" borderId="0" xfId="7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1" xfId="0" applyFont="1" applyFill="1" applyBorder="1"/>
    <xf numFmtId="187" fontId="8" fillId="0" borderId="0" xfId="7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 wrapText="1"/>
    </xf>
    <xf numFmtId="187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187" fontId="28" fillId="0" borderId="0" xfId="7" applyNumberFormat="1" applyFont="1" applyBorder="1"/>
    <xf numFmtId="187" fontId="28" fillId="0" borderId="14" xfId="7" applyNumberFormat="1" applyFont="1" applyBorder="1"/>
    <xf numFmtId="43" fontId="28" fillId="0" borderId="14" xfId="7" applyFont="1" applyBorder="1" applyAlignment="1">
      <alignment horizontal="center" vertical="center"/>
    </xf>
    <xf numFmtId="43" fontId="28" fillId="0" borderId="0" xfId="7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3" fontId="8" fillId="7" borderId="1" xfId="11" applyFont="1" applyFill="1" applyBorder="1" applyAlignment="1">
      <alignment horizontal="left" vertical="top" wrapText="1"/>
    </xf>
    <xf numFmtId="43" fontId="8" fillId="0" borderId="2" xfId="11" applyFont="1" applyFill="1" applyBorder="1" applyAlignment="1">
      <alignment horizontal="center" vertical="center" wrapText="1"/>
    </xf>
    <xf numFmtId="43" fontId="8" fillId="0" borderId="1" xfId="11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3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0" xfId="0" applyFont="1"/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43" fontId="8" fillId="0" borderId="18" xfId="7" applyFont="1" applyBorder="1" applyAlignment="1">
      <alignment horizontal="center" vertical="center" wrapText="1"/>
    </xf>
    <xf numFmtId="43" fontId="8" fillId="0" borderId="13" xfId="7" applyFont="1" applyBorder="1" applyAlignment="1">
      <alignment horizontal="center" vertical="center" wrapText="1"/>
    </xf>
    <xf numFmtId="43" fontId="8" fillId="0" borderId="15" xfId="7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3" fontId="8" fillId="0" borderId="16" xfId="7" applyFont="1" applyBorder="1" applyAlignment="1">
      <alignment horizontal="center"/>
    </xf>
    <xf numFmtId="43" fontId="8" fillId="0" borderId="23" xfId="7" applyFont="1" applyBorder="1" applyAlignment="1">
      <alignment horizontal="center"/>
    </xf>
    <xf numFmtId="43" fontId="8" fillId="0" borderId="2" xfId="7" applyFont="1" applyBorder="1" applyAlignment="1">
      <alignment horizontal="center"/>
    </xf>
    <xf numFmtId="43" fontId="8" fillId="0" borderId="18" xfId="12" applyFont="1" applyBorder="1" applyAlignment="1">
      <alignment horizontal="center" vertical="center" wrapText="1"/>
    </xf>
    <xf numFmtId="43" fontId="8" fillId="0" borderId="13" xfId="12" applyFont="1" applyBorder="1" applyAlignment="1">
      <alignment horizontal="center" vertical="center" wrapText="1"/>
    </xf>
    <xf numFmtId="43" fontId="8" fillId="0" borderId="15" xfId="12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87" fontId="40" fillId="0" borderId="0" xfId="14" applyNumberFormat="1" applyFont="1" applyBorder="1" applyAlignment="1">
      <alignment horizontal="center"/>
    </xf>
    <xf numFmtId="187" fontId="8" fillId="0" borderId="0" xfId="14" applyNumberFormat="1" applyFont="1" applyBorder="1" applyAlignment="1">
      <alignment horizontal="center"/>
    </xf>
    <xf numFmtId="43" fontId="8" fillId="0" borderId="18" xfId="7" applyFont="1" applyFill="1" applyBorder="1" applyAlignment="1">
      <alignment horizontal="center" vertical="center" wrapText="1"/>
    </xf>
    <xf numFmtId="43" fontId="8" fillId="0" borderId="13" xfId="7" applyFont="1" applyFill="1" applyBorder="1" applyAlignment="1">
      <alignment horizontal="center" vertical="center" wrapText="1"/>
    </xf>
    <xf numFmtId="43" fontId="8" fillId="0" borderId="13" xfId="7" applyFont="1" applyBorder="1" applyAlignment="1">
      <alignment horizontal="center" vertical="center"/>
    </xf>
    <xf numFmtId="43" fontId="8" fillId="0" borderId="15" xfId="7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3" fontId="8" fillId="0" borderId="0" xfId="7" applyFont="1" applyBorder="1" applyAlignment="1">
      <alignment horizontal="center"/>
    </xf>
    <xf numFmtId="43" fontId="8" fillId="0" borderId="11" xfId="7" applyFont="1" applyBorder="1" applyAlignment="1">
      <alignment horizontal="center" vertical="center" wrapText="1"/>
    </xf>
    <xf numFmtId="43" fontId="8" fillId="0" borderId="7" xfId="7" applyFont="1" applyBorder="1" applyAlignment="1">
      <alignment horizontal="center" vertical="center" wrapText="1"/>
    </xf>
    <xf numFmtId="43" fontId="8" fillId="0" borderId="9" xfId="7" applyFont="1" applyBorder="1" applyAlignment="1">
      <alignment horizontal="center" vertical="center" wrapText="1"/>
    </xf>
    <xf numFmtId="187" fontId="8" fillId="0" borderId="0" xfId="14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43" fontId="7" fillId="0" borderId="0" xfId="7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16" xfId="7" applyFont="1" applyBorder="1" applyAlignment="1">
      <alignment horizontal="center" vertical="center"/>
    </xf>
    <xf numFmtId="43" fontId="10" fillId="0" borderId="23" xfId="7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17">
    <cellStyle name="Comma 2" xfId="1"/>
    <cellStyle name="Comma 2 3" xfId="2"/>
    <cellStyle name="Normal 2" xfId="3"/>
    <cellStyle name="Normal 2 3" xfId="4"/>
    <cellStyle name="Normal 3" xfId="5"/>
    <cellStyle name="Normal_mask" xfId="6"/>
    <cellStyle name="เครื่องหมายจุลภาค" xfId="7" builtinId="3"/>
    <cellStyle name="เครื่องหมายจุลภาค 2" xfId="8"/>
    <cellStyle name="เครื่องหมายจุลภาค 2 2" xfId="9"/>
    <cellStyle name="เครื่องหมายจุลภาค 3" xfId="10"/>
    <cellStyle name="เครื่องหมายจุลภาค 3 2" xfId="11"/>
    <cellStyle name="เครื่องหมายจุลภาค 4" xfId="12"/>
    <cellStyle name="เครื่องหมายจุลภาค 5" xfId="13"/>
    <cellStyle name="เครื่องหมายสกุลเงิน" xfId="14" builtinId="4"/>
    <cellStyle name="ปกติ" xfId="0" builtinId="0"/>
    <cellStyle name="ปกติ 2" xfId="15"/>
    <cellStyle name="ปกติ 3" xfId="16"/>
  </cellStyles>
  <dxfs count="1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63" Type="http://schemas.openxmlformats.org/officeDocument/2006/relationships/externalLink" Target="externalLinks/externalLink12.xml"/><Relationship Id="rId68" Type="http://schemas.openxmlformats.org/officeDocument/2006/relationships/externalLink" Target="externalLinks/externalLink17.xml"/><Relationship Id="rId76" Type="http://schemas.openxmlformats.org/officeDocument/2006/relationships/externalLink" Target="externalLinks/externalLink25.xml"/><Relationship Id="rId84" Type="http://schemas.openxmlformats.org/officeDocument/2006/relationships/externalLink" Target="externalLinks/externalLink33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externalLink" Target="externalLinks/externalLink7.xml"/><Relationship Id="rId66" Type="http://schemas.openxmlformats.org/officeDocument/2006/relationships/externalLink" Target="externalLinks/externalLink15.xml"/><Relationship Id="rId74" Type="http://schemas.openxmlformats.org/officeDocument/2006/relationships/externalLink" Target="externalLinks/externalLink23.xml"/><Relationship Id="rId79" Type="http://schemas.openxmlformats.org/officeDocument/2006/relationships/externalLink" Target="externalLinks/externalLink28.xml"/><Relationship Id="rId87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0.xml"/><Relationship Id="rId82" Type="http://schemas.openxmlformats.org/officeDocument/2006/relationships/externalLink" Target="externalLinks/externalLink31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externalLink" Target="externalLinks/externalLink13.xml"/><Relationship Id="rId69" Type="http://schemas.openxmlformats.org/officeDocument/2006/relationships/externalLink" Target="externalLinks/externalLink18.xml"/><Relationship Id="rId77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1.xml"/><Relationship Id="rId80" Type="http://schemas.openxmlformats.org/officeDocument/2006/relationships/externalLink" Target="externalLinks/externalLink29.xml"/><Relationship Id="rId85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8.xml"/><Relationship Id="rId67" Type="http://schemas.openxmlformats.org/officeDocument/2006/relationships/externalLink" Target="externalLinks/externalLink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externalLink" Target="externalLinks/externalLink11.xml"/><Relationship Id="rId70" Type="http://schemas.openxmlformats.org/officeDocument/2006/relationships/externalLink" Target="externalLinks/externalLink19.xml"/><Relationship Id="rId75" Type="http://schemas.openxmlformats.org/officeDocument/2006/relationships/externalLink" Target="externalLinks/externalLink24.xml"/><Relationship Id="rId83" Type="http://schemas.openxmlformats.org/officeDocument/2006/relationships/externalLink" Target="externalLinks/externalLink32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externalLink" Target="externalLinks/externalLink9.xml"/><Relationship Id="rId65" Type="http://schemas.openxmlformats.org/officeDocument/2006/relationships/externalLink" Target="externalLinks/externalLink14.xml"/><Relationship Id="rId73" Type="http://schemas.openxmlformats.org/officeDocument/2006/relationships/externalLink" Target="externalLinks/externalLink22.xml"/><Relationship Id="rId78" Type="http://schemas.openxmlformats.org/officeDocument/2006/relationships/externalLink" Target="externalLinks/externalLink27.xml"/><Relationship Id="rId81" Type="http://schemas.openxmlformats.org/officeDocument/2006/relationships/externalLink" Target="externalLinks/externalLink30.xml"/><Relationship Id="rId86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.&#3610;&#3594;.&#3609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0.&#3616;.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1.&#3624;&#3594;&#3605;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2.&#3610;&#3594;.&#3585;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3.&#3610;&#3594;.&#3611;&#3626;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4.&#3610;&#3594;.&#3626;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5.&#3626;&#3605;&#3617;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6.&#3610;&#3594;.&#3605;&#3594;&#3604;.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7.&#3626;&#3591;.&#3609;&#3619;&#3611;.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8.&#3626;&#3614;&#3600;.&#3605;&#3619;.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19.&#3626;&#3607;&#3626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.&#3616;.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0.&#3610;&#3594;.&#3624;.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1.&#3619;&#3619;.&#3609;&#3619;&#3605;.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2.&#3619;&#3614;.&#3605;&#3619;.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3.&#3626;&#3618;&#3624;.&#3605;&#3619;.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4.&#3626;&#3585;&#3610;.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5.&#3626;&#3585;&#3614;.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&#3611;&#3619;&#3633;&#3610;%20Edit%2030%20Nov%2015/26.&#3626;&#3591;&#3611;.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7.&#3585;&#3617;&#3588;.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&#3611;&#3619;&#3633;&#3610;%20Edit%2030%20Nov%2015/28.&#3626;&#3591;.&#3585;.&#3605;&#3619;.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29.&#3592;&#360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3.&#3616;.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&#3611;&#3619;&#3633;&#3610;%20Edit%2030%20Nov%2015/30.&#3626;&#3621;&#3585;.&#3605;&#3619;.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31.&#3605;&#3607;.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32.&#3626;&#3607;.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33.&#3610;.&#3605;&#3619;.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&#3611;&#3619;&#3633;&#3610;%20Edit%2030%20Nov%2015/34.&#3623;&#3609;.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2;&#3594;&#3640;&#3617;&#3648;&#3619;&#3656;&#3591;&#3619;&#3633;&#3604;&#3631;\Meeting%20Ori%20Doc\&#3611;&#3619;&#3632;&#3594;&#3640;&#3617;%2018%20&#3617;&#3636;.&#3618;.57\Meeting%2026%20Dec%2013\Meeting%2027%20NOV%2013\&#3627;&#3619;&#3633;&#3656;&#3591;%20(D)\&#3611;&#3637;%2054\&#3605;&#3636;&#3604;&#3605;&#3634;&#3617;&#3591;&#3610;&#3621;&#3591;&#3607;&#3640;&#3609;&#3611;&#3637;54\&#3591;&#3610;&#3621;&#3591;&#3607;&#3640;&#3609;&#3611;&#3637;5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2;&#3594;&#3640;&#3617;&#3648;&#3619;&#3656;&#3591;&#3619;&#3633;&#3604;&#3631;\Meeting%20Ori%20Doc\&#3611;&#3619;&#3632;&#3594;&#3640;&#3617;%2018%20&#3617;&#3636;.&#3618;.57\Meeting%2026%20Dec%2013\Meeting%2027%20NOV%2013\&#3627;&#3619;&#3633;&#3656;&#3591;%20(D)\&#3611;&#3637;55\&#3591;&#3610;&#3621;&#3591;&#3607;&#3640;&#3609;&#3611;&#3637;55\&#3591;&#3610;&#3621;&#3591;&#3607;&#3640;&#3609;&#3611;&#3637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4.&#3616;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5.&#3616;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6.&#3616;.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7.&#3616;.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8.&#3616;.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Excel%20Online/&#3591;&#3610;&#3621;&#3591;&#3607;&#3640;&#3609;/9.&#3616;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น."/>
    </sheetNames>
    <sheetDataSet>
      <sheetData sheetId="0">
        <row r="11">
          <cell r="I11" t="str">
            <v>ดำเนินการจัดหาโดยวิธีการ e-bidding และได้มีผู้เสนอราคาต่ำสุดคือบริษัทไพศาลเอ็มไพร์ จำกัด เป็นเงิน 1,699,611 บาท ขณะนี้อยู่ระหว่างลงนามในสัญญา</v>
          </cell>
          <cell r="M11" t="str">
            <v>อยู่ระหว่างการติดตั้งและส่งมอบ</v>
          </cell>
        </row>
        <row r="12">
          <cell r="I12" t="str">
            <v>ลงประาศครั้งที่ 1 มีผู้ทักท้วงว่าการประกาศไม่ได้เปิดช่องให้มีการวิจารณ์ จึงยกเลิกประกาศครั้งที่ 1</v>
          </cell>
          <cell r="M12" t="str">
            <v>อยู่ระหว่างเลิกประกาศประกวดราคาเนื่องจากต้องนำร่างประกาศและร่างเอกสารประกวดราคาอิเลคทรอนิส์เผยแพร่สาธารณชนเสนอแนะ วิจารณ์หรือมีความเห็นเป็นลายลักษณ์อักษรก่อน</v>
          </cell>
        </row>
        <row r="13">
          <cell r="I13" t="str">
            <v>ใช้วิธีตกลงราคา อยู่ระหว่างเสนอราคาของผู้ขาย</v>
          </cell>
          <cell r="M13" t="str">
            <v>อนุมัติซื้อแล้วอยู่ระหว่างลงนามในสัญญา</v>
          </cell>
        </row>
        <row r="14">
          <cell r="I14" t="str">
            <v xml:space="preserve"> รายการที่ 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โดยเสนอราคาต่ำสุดเป็นเงินทั้งสิ้น 3,660,000 บาทขณะนี้อยู่ระหว่างการเสนอผู้บังคับบัญชาพิจารณาจัดซื้อและลงนามในสัญญา </v>
          </cell>
          <cell r="M14" t="str">
            <v xml:space="preserve"> รายการที่4-12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เป็นเงิน 3,660,000 บาท ขณะนี้อยู่ระหว่างการส่งมอบ</v>
          </cell>
        </row>
        <row r="15">
          <cell r="I15" t="str">
            <v xml:space="preserve"> รายการที่ 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โดยเสนอราคาต่ำสุดเป็นเงินทั้งสิ้น 3,660,000 บาทขณะนี้อยู่ระหว่างการเสนอผู้บังคับบัญชาพิจารณาจัดซื้อและลงนามในสัญญา </v>
          </cell>
          <cell r="M15" t="str">
            <v xml:space="preserve"> รายการที่4-12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เป็นเงิน 3,660,000 บาท ขณะนี้อยู่ระหว่างการส่งมอบ</v>
          </cell>
        </row>
        <row r="16">
          <cell r="I16" t="str">
            <v>"</v>
          </cell>
          <cell r="M16" t="str">
            <v>"</v>
          </cell>
        </row>
        <row r="17">
          <cell r="I17" t="str">
            <v>"</v>
          </cell>
          <cell r="M17" t="str">
            <v>"</v>
          </cell>
        </row>
        <row r="18">
          <cell r="I18" t="str">
            <v>"</v>
          </cell>
          <cell r="M18" t="str">
            <v>"</v>
          </cell>
        </row>
        <row r="19">
          <cell r="I19" t="str">
            <v>"</v>
          </cell>
          <cell r="M19" t="str">
            <v>"</v>
          </cell>
        </row>
        <row r="20">
          <cell r="I20" t="str">
            <v>"</v>
          </cell>
          <cell r="M20" t="str">
            <v>"</v>
          </cell>
        </row>
        <row r="21">
          <cell r="I21" t="str">
            <v>"</v>
          </cell>
          <cell r="M21" t="str">
            <v>"</v>
          </cell>
        </row>
        <row r="22">
          <cell r="I22" t="str">
            <v>"</v>
          </cell>
          <cell r="M22" t="str">
            <v>"</v>
          </cell>
        </row>
        <row r="23">
          <cell r="I23"/>
          <cell r="M23"/>
        </row>
        <row r="24">
          <cell r="I24"/>
          <cell r="M24"/>
        </row>
        <row r="25">
          <cell r="I25"/>
          <cell r="M25"/>
        </row>
        <row r="29">
          <cell r="I29"/>
          <cell r="M29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    </cell>
          <cell r="M11" t="str">
            <v>-  อยู่ระหว่างกำหนดคุณลักษณะเฉพาะและกำหนดราคากลางเนื่องจากสเปคของ ตร. ปี 2534 รุ่นเก่า   
- อยู่ระหว่างดำเนินการจัดซื้อ โดยขอความร่วมมือจากหน่วยงานทางราชการ ขอทราบราคาการจัดซื้อ เพื่อกำหนดราคากลาง เป็นราคาอ้างอิง</v>
          </cell>
        </row>
        <row r="12">
          <cell r="I12" t="str">
            <v xml:space="preserve">  - จัดหาโดยวิธีพิเศษ  - อยู่ระหว่างลงนามในสัญญา</v>
          </cell>
          <cell r="M12" t="str">
            <v xml:space="preserve"> - จัดหาได้ 310,000 บาท อยู่ระหว่างลงนามในสัญญา</v>
          </cell>
        </row>
        <row r="13">
          <cell r="I13" t="str">
            <v xml:space="preserve">  - จัดหาโดยวิธีพิเศษ  - อยู่ระหว่างลงนามในสัญญา</v>
          </cell>
          <cell r="M13" t="str">
            <v xml:space="preserve"> - จัดหาได้ 140,000 บาท อยู่ระหว่างลงนามในสัญญา</v>
          </cell>
        </row>
        <row r="14">
          <cell r="I14" t="str">
            <v xml:space="preserve">  - จัดหาโดยวิธีพิเศษ  - อยู่ระหว่างลงนามในสัญญา</v>
          </cell>
          <cell r="M14" t="str">
            <v xml:space="preserve"> - จัดหาได้ 280,000 บาท อยู่ระหว่างลงนามในสัญญา  </v>
          </cell>
        </row>
        <row r="15">
          <cell r="I15"/>
          <cell r="M15"/>
        </row>
        <row r="16">
          <cell r="I16"/>
          <cell r="M16"/>
        </row>
        <row r="17">
          <cell r="I17"/>
          <cell r="M17"/>
        </row>
        <row r="21">
          <cell r="I21" t="str">
            <v xml:space="preserve">  - จัดหาโดยวิธี e-bidding  - ภ.9 ได้แต่งตั้งคณะกรรมการกำหนดราคากลาง ตามคำสั่งที่ 362/58  ลง 2 ก.ย.58  - อยู่ระหว่างรอกำหนดผังบริเวณ จาก ยธ. (ซึ่ง ภ.9 ได้มีหนังสือ บก.อก.ภ.9 ที่ 0024.142/1435 ลง 20 ส.ค.58   และ จนท.ของ ยธ.ตร. ได้ลงมาตรวจผังบริเวณเมื่อ 23 ก.ย.58)  - อยู่ระหว่างรอกำหนดผังบริเวณจากโยธา</v>
          </cell>
          <cell r="M21" t="str">
            <v>  - จัดหาโดยวิธี e-bidding  
- ภ.9 ได้แต่งตั้งคณะกรรมการกำหนดราคากลาง ตามคำสั่งที่ 362/58  ลง 2 ก.ย.58  
- อยู่ระหว่างรอกำหนดผังบริเวณ จาก ยธ. (ซึ่ง ภ.9 ได้มีหนังสือ บก.อก.ภ.9 ที่ 0024.142/1435 ลง 20 ส.ค.58   และ จนท.ของ ยธ.ตร. ได้ลงมาตรวจผังบริเวณเมื่อ 23 ก.ย.58)  
- ภ.9 ได้รับแบบรูปรายการจาก ยธ.ตร. เมื่อ 20 พ.ย.58  
- ขณะนี้อยู่ระหว่างคณะกรรมการกำหนดราคากลาง  </v>
          </cell>
        </row>
        <row r="22">
          <cell r="I22" t="str">
            <v xml:space="preserve">  - อยู่ระหว่างขอรับความเห็นชอบ</v>
          </cell>
          <cell r="M22" t="str">
            <v>  - จัดหาโดยวิธี ebidding กำหนดราคากลางตามคำสั่ง ภ.จว.พัทลุง ที่ 883/2528 ลง 15 ก.ย.58  ประกาศร่างเอกสารประกวดราคา  
- อยู่ระหว่างจัดทำประกาศและเอกสารประกวดกราคาจ้างก่อสร้าง ฯ เพื่อประกาศขึ้นเว็บไซด์ จว.พัทลุง   และกรมบัญชีกลาง  </v>
          </cell>
        </row>
        <row r="23">
          <cell r="I23"/>
          <cell r="M23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ชต."/>
    </sheetNames>
    <sheetDataSet>
      <sheetData sheetId="0">
        <row r="11">
          <cell r="I11" t="str">
            <v xml:space="preserve">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</v>
          </cell>
          <cell r="M11" t="str">
            <v xml:space="preserve">  อยู่ระหว่างคณะกรรมการจัดซื้อโดยวิธีพิเศษพิจารณาผล สามารถทำสัญญาได้ภายในเดือน พ.ย.58  </v>
          </cell>
        </row>
        <row r="12">
          <cell r="I12" t="str">
    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 </v>
          </cell>
          <cell r="M12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    </cell>
        </row>
        <row r="13">
          <cell r="I13" t="str">
    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 เมื่อได้รับการอนุมัติคาดว่าจะลงนามสัญญาได้ภายใน 31 ธ.ค.58   </v>
          </cell>
          <cell r="M13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    </cell>
        </row>
        <row r="14">
          <cell r="I14" t="str">
    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    </cell>
          <cell r="M14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ธ.ค.28  </v>
          </cell>
        </row>
        <row r="15">
          <cell r="I15" t="str">
    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    </cell>
          <cell r="M15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    </cell>
        </row>
        <row r="16">
          <cell r="I16" t="str">
    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    </cell>
          <cell r="M16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    </cell>
        </row>
        <row r="17">
          <cell r="I17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17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  </v>
          </cell>
        </row>
        <row r="18">
          <cell r="I18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18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    </cell>
        </row>
        <row r="19">
          <cell r="I19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19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    </cell>
        </row>
        <row r="20">
          <cell r="I20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20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    </cell>
        </row>
        <row r="21">
          <cell r="I21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21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    </cell>
        </row>
        <row r="22">
          <cell r="I22" t="str">
    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0025.142.142/11616 ลง 31 ต.ค.๕๘ เมื่อได้รับการอนุมัติคาดว่าจะลงนามสัญญาได้ภายใน 31 ธ.ค.๕๘  </v>
          </cell>
          <cell r="M22" t="str">
    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    </cell>
        </row>
        <row r="23">
          <cell r="I23"/>
          <cell r="M23"/>
        </row>
        <row r="24">
          <cell r="I24"/>
          <cell r="M24"/>
        </row>
        <row r="25">
          <cell r="I25"/>
          <cell r="M25"/>
        </row>
        <row r="29">
          <cell r="I29" t="str">
            <v xml:space="preserve">  อยู่ระหว่างการประสานโยธาธิการจังหวัดเป็นกรรมการกำหนดราคากลาง </v>
          </cell>
          <cell r="M29" t="str">
            <v xml:space="preserve"> อยู่ระหว่างรอแบบรูปรายการ จาก ยธ.สกบ. เพื่อกำหนดราคากลาง </v>
          </cell>
        </row>
        <row r="30">
          <cell r="I30" t="str">
            <v xml:space="preserve"> อยู่ระหว่างการประสานโยธาธิการจังหวัดเป็นกรรมการกำหนดราคากลาง </v>
          </cell>
          <cell r="M30" t="str">
            <v xml:space="preserve"> อยู่ระหว่างรอแบบรูปรายการ จาก ยธ.สกบ. เพื่อกำหนดราคากลาง </v>
          </cell>
        </row>
        <row r="31">
          <cell r="I31" t="str">
            <v xml:space="preserve"> อยู่ระหว่างการประสานโยธาธิการจังหวัดเป็นกรรมการกำหนดราคากลาง </v>
          </cell>
          <cell r="M31" t="str">
            <v xml:space="preserve"> อยู่ระหว่างรอแบบรูปรายการ จาก ยธ.สกบ. เพื่อกำหนดราคากลาง </v>
          </cell>
        </row>
        <row r="32">
          <cell r="I32" t="str">
            <v xml:space="preserve"> อยู่ระหว่างการประสานโยธาธิการจังหวัดเป็นกรรมการกำหนดราคากลาง </v>
          </cell>
          <cell r="M32" t="str">
            <v xml:space="preserve"> อยู่ระหว่างรอแบบรูปรายการ จาก ยธ.สกบ. เพื่อกำหนดราคากลาง </v>
          </cell>
        </row>
        <row r="33">
          <cell r="I33" t="str">
            <v xml:space="preserve"> อยู่ระหว่างการประสานโยธาธิการจังหวัดเป็นกรรมการกำหนดราคากลาง </v>
          </cell>
          <cell r="M33" t="str">
            <v xml:space="preserve"> อยู่ระหว่างรอแบบรูปรายการ จาก ยธ.สกบ. เพื่อกำหนดราคากลาง </v>
          </cell>
        </row>
        <row r="34">
          <cell r="I34" t="str">
            <v xml:space="preserve"> อยู่ระหว่างการประสานโยธาธิการจังหวัดเป็นกรรมการกำหนดราคากลาง </v>
          </cell>
          <cell r="M34" t="str">
            <v xml:space="preserve"> อยู่ระหว่างรอแบบรูปรายการ จาก ยธ.สกบ. เพื่อกำหนดราคากลาง </v>
          </cell>
        </row>
        <row r="35">
          <cell r="I35" t="str">
            <v xml:space="preserve"> อยู่ระหว่างการประสานโยธาธิการจังหวัดเป็นกรรมการกำหนดราคากลาง </v>
          </cell>
          <cell r="M35" t="str">
            <v xml:space="preserve"> อยู่ระหว่างรอแบบรูปรายการ จาก ยธ.สกบ. เพื่อกำหนดราคากลาง </v>
          </cell>
        </row>
        <row r="36">
          <cell r="I36" t="str">
            <v xml:space="preserve"> อยู่ระหว่างการประสานโยธาธิการจังหวัดเป็นกรรมการกำหนดราคากลาง </v>
          </cell>
          <cell r="M36" t="str">
            <v xml:space="preserve"> อยู่ระหว่างรอแบบรูปรายการ จาก ยธ.สกบ. เพื่อกำหนดราคากลาง </v>
          </cell>
        </row>
        <row r="37">
          <cell r="I37" t="str">
            <v xml:space="preserve"> อยู่ระหว่างการประสานโยธาธิการจังหวัดเป็นกรรมการกำหนดราคากลาง </v>
          </cell>
          <cell r="M37" t="str">
            <v>อยู่ระหว่างคณะกรรมการกำหนดราคากลาง</v>
          </cell>
        </row>
        <row r="38">
          <cell r="I38" t="str">
            <v xml:space="preserve"> อยู่ระหว่างการประสานโยธาธิการจังหวัดเป็นกรรมการกำหนดราคากลาง </v>
          </cell>
          <cell r="M38" t="str">
            <v>อยู่ระหว่างคณะกรรมการกำหนดราคากลาง</v>
          </cell>
        </row>
        <row r="39">
          <cell r="I39" t="str">
            <v xml:space="preserve"> อยู่ระหว่างการประสานโยธาธิการจังหวัดเป็นกรรมการกำหนดราคากลาง </v>
          </cell>
          <cell r="M39" t="str">
            <v>อยู่ระหว่างคณะกรรมการกำหนดราคากลาง</v>
          </cell>
        </row>
        <row r="40">
          <cell r="I40" t="str">
            <v xml:space="preserve"> อยู่ระหว่างการประสานโยธาธิการจังหวัดเป็นกรรมการกำหนดราคากลาง </v>
          </cell>
          <cell r="M40" t="str">
            <v>อยู่ระหว่างคณะกรรมการกำหนดราคากลาง</v>
          </cell>
        </row>
        <row r="41">
          <cell r="I41" t="str">
            <v xml:space="preserve"> อยู่ระหว่างการประสานโยธาธิการจังหวัดเป็นกรรมการกำหนดราคากลาง </v>
          </cell>
          <cell r="M41" t="str">
            <v xml:space="preserve"> อยู่ระหว่างคณะกรรมการกำหนดราคากลาง </v>
          </cell>
        </row>
        <row r="42">
          <cell r="I42" t="str">
            <v xml:space="preserve"> อยู่ระหว่างการประสานโยธาธิการจังหวัดเป็นกรรมการกำหนดราคากลาง </v>
          </cell>
          <cell r="M42" t="str">
            <v xml:space="preserve"> อยู่ระหว่างคณะกรรมการกำหนดราคากลาง </v>
          </cell>
        </row>
        <row r="43">
          <cell r="I43" t="str">
            <v xml:space="preserve"> อยู่ระหว่างการประสานโยธาธิการจังหวัดเป็นกรรมการกำหนดราคากลาง </v>
          </cell>
          <cell r="M43" t="str">
            <v>ลงนามสัญญาแล้ว</v>
          </cell>
        </row>
        <row r="44">
          <cell r="I44" t="str">
            <v xml:space="preserve"> อยู่ระหว่างการประสานโยธาธิการจังหวัดเป็นกรรมการกำหนดราคากลาง </v>
          </cell>
          <cell r="M44" t="str">
            <v>ลงนามสัญญาแล้ว</v>
          </cell>
        </row>
        <row r="45">
          <cell r="I45" t="str">
            <v xml:space="preserve"> อยู่ระหว่างการประสานโยธาธิการจังหวัดเป็นกรรมการกำหนดราคากลาง </v>
          </cell>
          <cell r="M45" t="str">
            <v>ลงนามสัญญาแล้ว</v>
          </cell>
        </row>
        <row r="46">
          <cell r="I46" t="str">
            <v xml:space="preserve"> อยู่ระหว่างการประสานโยธาธิการจังหวัดเป็นกรรมการกำหนดราคากลาง </v>
          </cell>
          <cell r="M46" t="str">
            <v>ลงนามสัญญาแล้ว</v>
          </cell>
        </row>
        <row r="47">
          <cell r="I47" t="str">
            <v xml:space="preserve"> อยู่ระหว่างการประสานโยธาธิการจังหวัดเป็นกรรมการกำหนดราคากลาง </v>
          </cell>
          <cell r="M47" t="str">
            <v>ลงนามสัญญาแล้ว</v>
          </cell>
        </row>
        <row r="48">
          <cell r="I48" t="str">
            <v xml:space="preserve"> อยู่ระหว่างการประสานโยธาธิการจังหวัดเป็นกรรมการกำหนดราคากลาง </v>
          </cell>
          <cell r="M48" t="str">
            <v>ลงนามสัญญาแล้ว</v>
          </cell>
        </row>
        <row r="49">
          <cell r="I49" t="str">
            <v xml:space="preserve"> อยู่ระหว่างการประสานโยธาธิการจังหวัดเป็นกรรมการกำหนดราคากลาง </v>
          </cell>
          <cell r="M49" t="str">
            <v>ลงนามสัญญาแล้ว</v>
          </cell>
        </row>
        <row r="50">
          <cell r="I50" t="str">
            <v xml:space="preserve"> อยู่ระหว่างการประสานโยธาธิการจังหวัดเป็นกรรมการกำหนดราคากลาง </v>
          </cell>
          <cell r="M50" t="str">
            <v>ลงนามสัญญาแล้ว</v>
          </cell>
        </row>
        <row r="51">
          <cell r="I51" t="str">
            <v xml:space="preserve"> อยู่ระหว่างการประสานโยธาธิการจังหวัดเป็นกรรมการกำหนดราคากลาง </v>
          </cell>
          <cell r="M51" t="str">
            <v>ลงนามสัญญาแล้ว</v>
          </cell>
        </row>
        <row r="52">
          <cell r="I52"/>
          <cell r="M52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ก."/>
    </sheetNames>
    <sheetDataSet>
      <sheetData sheetId="0">
        <row r="11">
          <cell r="I11" t="str">
            <v> จัดซื้อด้วยวิธีประกวดราคาอิเล็กทรอนิกส์ ปัจจุบันอยู่ระหว่างรอรายงานผลการพิจารณาผลการประกวดราคาของคณะกรรมการฯ </v>
          </cell>
          <cell r="M11" t="str">
            <v>ลงนามสัญญาแล้ว เมื่อ 18 พ.ย.58 รอการส่งมอบ (กำหนดส่งมอบภายใน 30 วัน  วันที่ 18 ธ.ค.58 ได้ราคา 17,890,000 บาท</v>
          </cell>
        </row>
        <row r="12">
          <cell r="I12"/>
          <cell r="M12" t="str">
            <v>จัดหาโดยวิธีประกวดราคาอิเล็กทรอนิกส์ ขอรับความเห็นชอบเมื่อ 12 พ.ย.58 วันที่ 25 พ.ย.58 ประกาศประกวดราคา</v>
          </cell>
        </row>
        <row r="13">
          <cell r="I13" t="str">
            <v> จัดหาโดยวิธีสอบราคา อยู่ระหว่างขอรับความเห็นชอบ </v>
          </cell>
          <cell r="M13" t="str">
            <v>อยู่ระหว่างขออนุมัติจัดซื้อ</v>
          </cell>
        </row>
        <row r="14">
          <cell r="I14" t="str">
            <v>เนื่องจาก บก.ปปป.ได้รับข้อมูลเบื้องต้นจากบริษัทตัวแทนจำหน่ายรถจักรยานยนต์ตามสเป็คสำนักงบประมาณดังกล่าว ปัจจุบันไม่มีขายในท้องตลาด หรือมีก็เพียงยี่ห้อเดียว จึงได้มีหนังสือสอบถามไปยังบรีษัทตัวแทนจำหน่ายรถจักรยานยนต์ยี่ห้อต่าง ๆรวม 4 บริษัท เพื่อยืนยันข้อมูลดังกล่าว และมีหนังสือหารือไปยังกรมบัญชึกลาง กรณ๊หากมีเพียงยี่ห้อเดียว จะสามารถจัดซื้อได้หรือไม่อย่างไร ซึ่งขณะนี้อยู่ระหว่างรอหนังสือตอบกลับ</v>
          </cell>
          <cell r="M14" t="str">
            <v> ติดต่อผู้ขายให้ลงทะเบียนการค้าเรียบร้อยแล้ว ขณะนี้อยู่ระหว่างเสนอเรื่องขออนุมัติดำเนินการจัดซื้อ คาดว่าจะผูกพันสัญญาภายใน 30 พ.ย.58 </v>
          </cell>
        </row>
        <row r="15">
          <cell r="I15"/>
          <cell r="M15" t="str">
            <v> อยู่ระหว่างลงประกาศร่างเอกสารประกวดราคาทางเว๊ปไซต์ ระหว่างวันที่ 24 พ.ย.58 - 1 ธ.ค.58 (5 วันทำการ) </v>
          </cell>
        </row>
        <row r="16">
          <cell r="I16"/>
          <cell r="M16" t="str">
            <v>อยู่ระหว่างดำเนินการซ่อมทำตามสัญญาจ้างฯ</v>
          </cell>
        </row>
        <row r="17">
          <cell r="I17"/>
          <cell r="M17" t="str">
            <v>27 พ.ย.58 ขอรับความเห็นชอบ</v>
          </cell>
        </row>
        <row r="18">
          <cell r="I18" t="str">
            <v>4 พ.ย.58 เปิดซองสอบราคา</v>
          </cell>
          <cell r="M18" t="str">
            <v>16 พ.ย.58 ทำสัญญา  สัญญาเลขที่ 1/2559 ลง 16 พ.ย.58 วงเงิน 696,000 บาท</v>
          </cell>
        </row>
        <row r="19">
          <cell r="I19" t="str">
            <v>4 พ.ย.58 เปิดซองสอบราคา</v>
          </cell>
          <cell r="M19" t="str">
            <v>16 พ.ย.58 ทำสัญญา สัญญาเลขที่ 2/2559 ลง 16 พ.ย.58 วงเงิน 1,220,000 บาท</v>
          </cell>
        </row>
        <row r="20">
          <cell r="I20"/>
          <cell r="M20" t="str">
            <v>   10 - 20 พ.ย.58 ประกาศสอบราคา    23 พ.ย.58 เปิดซอง ยกเลิก ขอรับความเห็นชอบใหม่เมื่อ 27 พ.ย.58  </v>
          </cell>
        </row>
        <row r="21">
          <cell r="I21"/>
          <cell r="M21" t="str">
            <v>10 - 20 พ.ย.58 ประกาศสอบราคา 23 พ.ย.58  เปิดซอง ยกเลิก ขอรับความเห็นชอบใหม่ 27 พ.ย.58</v>
          </cell>
        </row>
        <row r="22">
          <cell r="I22"/>
          <cell r="M22" t="str">
            <v> 10 - 20 พ.ย.58 ประกาศสอบราคา 23 พ.ย.58 เปิดซอง ยกเลิก ขอรับความเห็นชอบใหม่ 27 พ.ย.58 </v>
          </cell>
        </row>
        <row r="23">
          <cell r="I23"/>
          <cell r="M23" t="str">
            <v> อยู่ระหว่างให้บริษัทฯ ที่สนใจจัดทำเอกสารเพื่อยื่นเสนอราคา </v>
          </cell>
        </row>
        <row r="24">
          <cell r="I24" t="str">
            <v>ขอรับความเห็นชอบเรียบร้อย</v>
          </cell>
          <cell r="M24" t="str">
            <v> อยู่ระหว่างขออนุมัติจัดซื้อ </v>
          </cell>
        </row>
        <row r="25">
          <cell r="I25" t="str">
            <v>ขอรับความเห็นชอบเรียบร้อย</v>
          </cell>
          <cell r="M25" t="str">
            <v>อยู่ระหว่างขออนุมัติจัดซื้อ</v>
          </cell>
        </row>
        <row r="26">
          <cell r="I26" t="str">
            <v>ขอรับความเห็นชอบเรียบร้อย</v>
          </cell>
          <cell r="M26" t="str">
            <v>อยู่ระหว่างขออนุมัติจัดซื้อ</v>
          </cell>
        </row>
        <row r="27">
          <cell r="I27" t="str">
            <v>ขอรับความเห็นชอบเรียบร้อย</v>
          </cell>
          <cell r="M27" t="str">
            <v>อยู่ระหว่างขออนุมัติจัดซื้อ</v>
          </cell>
        </row>
        <row r="28">
          <cell r="I28" t="str">
            <v>ขอรับความเห็นชอบเรียบร้อย</v>
          </cell>
          <cell r="M28" t="str">
            <v>อยู่ระหว่างขออนุมัติจัดซื้อ</v>
          </cell>
        </row>
        <row r="29">
          <cell r="I29" t="str">
            <v>ขอรับความเห็นชอบเรียบร้อย</v>
          </cell>
          <cell r="M29" t="str">
            <v>อยู่ระหว่างขออนุมัติจัดซื้อ</v>
          </cell>
        </row>
        <row r="30">
          <cell r="I30" t="str">
            <v>ขอรับความเห็นชอบเรียบร้อย</v>
          </cell>
          <cell r="M30" t="str">
            <v> อยู่ระหว่างประกาศสอบราคา เปิดซองวันที่ 1 ธ.ค.58</v>
          </cell>
        </row>
        <row r="31">
          <cell r="I31"/>
          <cell r="M31" t="str">
            <v> อยู่ระหว่างคณะกรรมการพิจารณาขอบเขตของงาน (TOR)</v>
          </cell>
        </row>
        <row r="32">
          <cell r="I32"/>
          <cell r="M32" t="str">
            <v>อยู่ระหว่างประกาศสอบราคา วันที่ 26 พ.ย.58 - 8 ธ.ค.58</v>
          </cell>
        </row>
        <row r="36">
          <cell r="I36"/>
          <cell r="M36" t="str">
            <v>อยู่ระหว่างคณะกรรมการกำหนดราคากลาง ดำเนินการคำนวณราคากลาง และอยู่ระหว่างจัดทำร่างประกาศและร่างเอกสารประกวดราคา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ส."/>
    </sheetNames>
    <sheetDataSet>
      <sheetData sheetId="0">
        <row r="11">
          <cell r="I11" t="str">
            <v>ลงนามสัญญาแล้ว</v>
          </cell>
          <cell r="M11" t="str">
            <v>ส่งเรื่องเบิกจ่ายแล้ว</v>
          </cell>
        </row>
        <row r="12">
          <cell r="I12" t="str">
            <v>รอ ตร. อนุมัติให้ บช.ปส. เป็นหน่วยจัดหา</v>
          </cell>
          <cell r="M12" t="str">
            <v>ตร.มีบันทึกลง 6 พ.ย.58 สั่งการให้ สกบ.(สพ.) จัดหา</v>
          </cell>
        </row>
        <row r="13">
          <cell r="I13" t="str">
            <v>อยู่ระหว่างจัดทำ SPEC ใหม่เพื่อให้ได้ครุภัณฑ์ ที่มีประสิทธิภาพกับการใช้งาน</v>
          </cell>
          <cell r="M13" t="str">
            <v>อยู่ระหว่างเสนอ ผบช.ปส. อนุมัติ Spec เพื่อใช้ประกอบการจัดหา</v>
          </cell>
        </row>
        <row r="14">
          <cell r="I14" t="str">
            <v>รอ ตร. อนุมัติให้ บช.ปส. เป็นหน่วยจัดหา</v>
          </cell>
          <cell r="M14" t="str">
            <v>ตร.มีบันทึกลง 6 พ.ย.58 สั่งการให้ สกบ.(สพ.) จัดหา</v>
          </cell>
        </row>
        <row r="15">
          <cell r="I15" t="str">
            <v>รอ ตร. อนุมัติให้ บช.ปส. เป็นหน่วยจัดหา</v>
          </cell>
          <cell r="M15" t="str">
            <v>ตร.มีบันทึกลง 6 พ.ย.58 สั่งการให้ สกบ.(สพ.) จัดหา</v>
          </cell>
        </row>
        <row r="16">
          <cell r="I16" t="str">
            <v>รอ ตร. อนุมัติให้ บช.ปส. เป็นหน่วยจัดหา</v>
          </cell>
          <cell r="M16" t="str">
            <v>ตร.มีบันทึกลง 6 พ.ย.58 สั่งการให้ สกบ.(สพ.) จัดหา</v>
          </cell>
        </row>
        <row r="17">
          <cell r="I17" t="str">
            <v>รอ ตร. อนุมัติให้ บช.ปส. เป็นหน่วยจัดหา</v>
          </cell>
          <cell r="M17" t="str">
            <v>ตร.มีบันทึกลง 6 พ.ย.58 สั่งการให้ สกบ.(สพ.) จัดหา</v>
          </cell>
        </row>
        <row r="18">
          <cell r="I18" t="str">
            <v>รอ ตร. อนุมัติให้ บช.ปส. เป็นหน่วยจัดหา</v>
          </cell>
          <cell r="M18" t="str">
            <v>ตร.มีบันทึกลง 6 พ.ย.58 สั่งการให้ สกบ.(สพ.) จัดหา</v>
          </cell>
        </row>
        <row r="19">
          <cell r="I19"/>
          <cell r="M19"/>
        </row>
        <row r="20">
          <cell r="I20" t="str">
            <v>รอ ตร. อนุมัติให้ บช.ปส. เป็นหน่วยจัดหา</v>
          </cell>
          <cell r="M20" t="str">
            <v>ตร.มีบันทึกลง 6 พ.ย.58 สั่งการให้ สกบ.(สพ.) จัดหา</v>
          </cell>
        </row>
        <row r="21">
          <cell r="I21" t="str">
            <v>รอ ตร. อนุมัติให้ บช.ปส. เป็นหน่วยจัดหา</v>
          </cell>
          <cell r="M21" t="str">
            <v>ตร.มีบันทึกลง 6 พ.ย.58 สั่งการให้ สกบ.(สพ.) จัดหา</v>
          </cell>
        </row>
        <row r="22">
          <cell r="I22" t="str">
            <v>รอ ตร. อนุมัติให้ บช.ปส. เป็นหน่วยจัดหา</v>
          </cell>
          <cell r="M22" t="str">
            <v>ตร.มีบันทึกลง 6 พ.ย.58 สั่งการให้ สกบ.(สพ.) จัดหา</v>
          </cell>
        </row>
        <row r="23">
          <cell r="I23" t="str">
            <v>อยู่ระหว่าง ตร.ตรวจสอบ และพิจารณาเสนอ รอง นายกฯ อนุมัติซื้อ</v>
          </cell>
          <cell r="M23" t="str">
            <v>เรื่องอยู่ที่ สง.ผบ.ตร.ตรวจสอบและพิจารณาเสนอ รอง นรม.อนุมัติซื้อ</v>
          </cell>
        </row>
        <row r="24">
          <cell r="I24" t="str">
            <v>อยู่ระหว่างการทบทวนการจัดซื้อ เสนอ ตร.</v>
          </cell>
          <cell r="M24" t="str">
            <v>อยู่ระหว่างเสนอ ผบช.ปส. อนุมัติ Spec เพื่อใช้ประกอบการจัดหา</v>
          </cell>
        </row>
        <row r="25">
          <cell r="I25" t="str">
            <v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v>
          </cell>
          <cell r="M25" t="str">
            <v>ตร.มีบันทึกลง 6 พ.ย.58 สั่งการให้ สกบ.(สพ.) จัดหา</v>
          </cell>
        </row>
        <row r="26">
          <cell r="I26" t="str">
            <v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v>
          </cell>
          <cell r="M26" t="str">
            <v>ตร.มีบันทึกลง 6 พ.ย.58 สั่งการให้ สกบ.(สพ.) จัดหา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ส."/>
    </sheetNames>
    <sheetDataSet>
      <sheetData sheetId="0">
        <row r="11">
          <cell r="I11" t="str">
            <v>ประกวดราคาครั้งที่ 2 ยังไม่มีผู้เสนอราคา</v>
          </cell>
          <cell r="M11" t="str">
            <v>วิธีพิเศษ...อยู่ระหว่างบริษัทยื่นเสนอราคา</v>
          </cell>
        </row>
        <row r="12">
          <cell r="I12" t="str">
            <v>e-bidding โดยบ.ส.พันแสน จำกัด ลงนามสัญญเมื่อ 28 ต.ค.58 ครบกำหนดส่งมอบ 90วัน อยู่ระหว่างลงPOในระบบ</v>
          </cell>
          <cell r="M12" t="str">
            <v>อยู่ระหว่างการส่งมอบ</v>
          </cell>
        </row>
        <row r="13">
          <cell r="I13" t="str">
            <v>คณะกรรมการฯ วิธีพิเศษ..เห็นควรซื้อจาก บ.วินเพาเวอร์คอปอเรชั่น เป็นเงิน 205,330บาท (อยู่ระหว่างการขออนุมัติรองนายกรัฐมนตรี ในฐานะรัฐมนตรีเจ้าสังกัด)</v>
          </cell>
          <cell r="M13" t="str">
            <v>อยู่ระหว่างการขออนุมัติรองนายกรัฐมนตรี ในฐานะรัฐมนตรีเจ้าสังกัด</v>
          </cell>
        </row>
        <row r="14">
          <cell r="I14" t="str">
            <v>วิธีพิเศษ..(1)เมื่อ 4 ส.ค.58 ขออนุมัติยกเว้นการปฏิบัติตามระเบียบ ก.ต.ช.ว่าด้วยการจัดหายุทธภัณฑ์ฯ โดยขออนุมัติ ตร.ให้ บช.ส.เป็นผู้ดำเนินการจัดซื้อ เนื่องจากเป็นยุทธภัณฑ์ (2) ตร.ได้อนุมัติ ลง 23 ก.ย.58ท้ายหนังสือ สกบ.ที่ 0008.423/3894 ลง 3 ก.ย.58ให้ บช.ส.เป็นผู้ดำเนินการจัดซื้อ (3)อยู่ระหว่างขอรับความเห็นชอบดำเนินการจัดซื้อ</v>
          </cell>
          <cell r="M14" t="str">
            <v>อยู่ระหว่างขอรับความเห็นชอบดำเนินการจัดซื้อ</v>
          </cell>
        </row>
        <row r="18">
          <cell r="I18" t="str">
            <v>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</v>
          </cell>
          <cell r="M18" t="str">
            <v xml:space="preserve"> อยู่ระหว่างยื่นซองเสนอราคา (ครบกำหนด วันที่ 25 พ.ย.2558)</v>
          </cell>
        </row>
        <row r="19">
          <cell r="I19" t="str">
            <v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v>
          </cell>
          <cell r="M19" t="str">
            <v>อยู่ระหว่างยื่นซองเสนอราคา (ครบกำหนด วันที่ 25 พ.ย.2558)</v>
          </cell>
        </row>
        <row r="20">
          <cell r="I20" t="str">
            <v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v>
          </cell>
          <cell r="M20" t="str">
            <v>อยู่ระหว่างยื่นซองเสนอราคา (ครบกำหนด วันที่ 25 พ.ย.2558)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ตม."/>
    </sheetNames>
    <sheetDataSet>
      <sheetData sheetId="0">
        <row r="24">
          <cell r="I24" t="str">
            <v>อยู่ระหว่างขอรับความเห็นชอบดำเนินการประกวดราคาฯ</v>
          </cell>
          <cell r="M24" t="str">
            <v>อยู่ระหว่างนำร่างประกาศ และร่างเอกสารประกวดราคาฯ ลงเผยแพร่ในเว็บไซต์ของกรมบัญชีกลาง ระหว่างวันที่ 18-26 พ.ย.58 เพื่อให้สาธารณะชนวิจารณ์ร่าง</v>
          </cell>
        </row>
        <row r="25">
          <cell r="I25" t="str">
            <v>อยู่ระหว่างรอแบบรูปรายการจาก ยธ.สกบ.</v>
          </cell>
          <cell r="M25" t="str">
            <v xml:space="preserve"> - ได้รับแบบรูปรายการเรียบร้อยแล้ว เมื่อ 10 พ.ย.58 
 - อยู่ระหว่างคณะกรรมการกำหนดราคากลางก่อสร้าง </v>
          </cell>
        </row>
        <row r="26">
          <cell r="I26" t="str">
            <v>อยู่ระหว่างรอแบบรูปรายการจาก ยธ.สกบ.</v>
          </cell>
          <cell r="M26" t="str">
            <v> - แต่งตั้งคณะกรรมการกำหนดราคากลางแล้ว เมื่อ 25 พ.ย.58
 - อยู่ระหว่างรอรับแบบรูปรายการฉบับสมบูรณ์ จาก ยธ.สกบ. คาดว่าจะได้รับแบบฯ ภายในสัปดาห์นี้ เพื่อจัดส่งให้คณะกรรมการกำหนดราคากลาง</v>
          </cell>
        </row>
        <row r="27">
          <cell r="I27" t="str">
            <v>อยู่ระหว่างรอประมาณราคาจาก ยธ.จว.หนองคาย เพื่อจะส่งคณะกรรมการกำหนดราคาต่อไป</v>
          </cell>
          <cell r="M27" t="str">
            <v>อยู่ระหว่างเผยแพร่ประกาศประกวดราคา/ขายเอกสาร ระหว่างวันที่ 23 พ.ย.-1 ธ.ค.58 
ยื่นข้อเสนอ ในวันที่ 15 ธ.ค.2558</v>
          </cell>
        </row>
        <row r="28">
          <cell r="I28" t="str">
            <v>อยู่ระหว่างรอแบบรูปรายการจาก ยธ.สกบ.</v>
          </cell>
          <cell r="M28" t="str">
            <v xml:space="preserve"> - ได้รับแบบรูปรายการเรียบร้อยแล้ว
 - อยู่ระหว่างการดำเนินการของคณะกรรมการกำหนดราคากลาง กำหนดให้มีการประชุมครั้งที่ 2 วันพุธที่ 2 ธ.ค.58</v>
          </cell>
        </row>
        <row r="29">
          <cell r="I29" t="str">
            <v>อยู่ระหว่างรอแบบรูปรายการจาก ยธ.สกบ.</v>
          </cell>
          <cell r="M29" t="str">
            <v xml:space="preserve"> - ได้รับแบบรูปรายการและผังบริเวณจาก ยธ.สกบ. เมื่อวันที่ 23 พ.ย.58
 - ขณะนี้ได้ส่งแบบและผังดังกล่าวให้กับ ยธ.จว.เพื่อดำเนินการประมาณการราคาค่าก่อสร้างฯ ทั้งหมดอีกครั้ง</v>
          </cell>
        </row>
        <row r="30">
          <cell r="I30" t="str">
            <v>อยู่ระหว่างรอแบบรูปรายการจาก ยธ.สกบ.</v>
          </cell>
          <cell r="M30" t="str">
            <v xml:space="preserve"> - ได้รับแบบรูปรายการ เมื่อ 24 พ.ย.58
 - อยู่ระหว่างคณะกรรมการกำหนดราคากลางงานก่อสร้าง</v>
          </cell>
        </row>
        <row r="31">
          <cell r="I31" t="str">
            <v>อยู่ระหว่างกำหนดราคากลาง</v>
          </cell>
          <cell r="M31" t="str">
            <v>อยู่ระหว่างนำร่างประกาศ/ร่างประกวดราคา ขึ้นเว็บไซต์กรมบัญชีกลาง ระหว่างวันที่ 20-26 พ.ย.58 เพื่อให้สาธารณะชนวิจารณ์ร่าง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ชด."/>
    </sheetNames>
    <sheetDataSet>
      <sheetData sheetId="0">
        <row r="11">
          <cell r="I11" t="str">
            <v xml:space="preserve">อยู่ระหว่ากำหนดคุณลักษณะเฉพาะในการจัดหา </v>
          </cell>
          <cell r="M11" t="str">
            <v> อยู่ระหว่ากำหนดคุณลักษณะเฉพาะในการจัดหา </v>
          </cell>
        </row>
        <row r="12">
          <cell r="I12" t="str">
            <v xml:space="preserve">อยู่ระหว่ากำหนดคุณลักษณะเฉพาะในการจัดหา </v>
          </cell>
          <cell r="M12" t="str">
            <v>อยู่ระหว่ากำหนดคุณลักษณะเฉพาะในการจัดหา</v>
          </cell>
        </row>
        <row r="13">
          <cell r="I13" t="str">
            <v xml:space="preserve">อยู่ระหว่ากำหนดคุณลักษณะเฉพาะในการจัดหา </v>
          </cell>
          <cell r="M13" t="str">
            <v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v>
          </cell>
        </row>
        <row r="14">
          <cell r="I14" t="str">
            <v xml:space="preserve">อยู่ระหว่ากำหนดคุณลักษณะเฉพาะในการจัดหา </v>
          </cell>
          <cell r="M14" t="str">
            <v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v>
          </cell>
        </row>
        <row r="15">
          <cell r="I15" t="str">
            <v>อยู่ระหว่างดำเนินการจัดหา</v>
          </cell>
          <cell r="M15" t="str">
            <v>รอลงนามในสัญญา</v>
          </cell>
        </row>
        <row r="16">
          <cell r="I16" t="str">
            <v>อยู่ระหว่างดำเนินการจัดหา</v>
          </cell>
          <cell r="M16" t="str">
            <v>รอลงนามในสัญญา</v>
          </cell>
        </row>
        <row r="17">
          <cell r="I17" t="str">
            <v>อยู่ระหว่างดำเนินการจัดหา</v>
          </cell>
          <cell r="M17" t="str">
            <v>รอลงนามในสัญญา</v>
          </cell>
        </row>
        <row r="18">
          <cell r="I18"/>
          <cell r="M18" t="str">
            <v>อยู่ระหว่างประกาศสอบราคา กำหนดเปิดซอง 1 ธ.ค. 58</v>
          </cell>
        </row>
        <row r="19">
          <cell r="I19" t="str">
            <v>อยู่ระหว่างดำเนินการจัดหา</v>
          </cell>
          <cell r="M19" t="str">
            <v>  รอลงนามในสัญญา   </v>
          </cell>
        </row>
        <row r="20">
          <cell r="I20" t="str">
            <v>อยู่ระหว่างดำเนินการจัดหา</v>
          </cell>
          <cell r="M20" t="str">
            <v xml:space="preserve"> รอลงนามในสัญญา </v>
          </cell>
        </row>
        <row r="21">
          <cell r="I21" t="str">
            <v>อยู่ระหว่างดำเนินการจัดหา</v>
          </cell>
          <cell r="M21" t="str">
            <v xml:space="preserve"> ลงนามในสัญญา 25 พ.ย. 58</v>
          </cell>
        </row>
        <row r="22">
          <cell r="I22" t="str">
            <v>อยู่ระหว่างดำเนินการจัดหา</v>
          </cell>
          <cell r="M22" t="str">
            <v>เปิดซองเสนอราคาครั้งที่ 2 เมื่อ 25 พ.ย 58</v>
          </cell>
        </row>
        <row r="23">
          <cell r="I23"/>
          <cell r="M23" t="str">
            <v>เสนอราคา 2 ธ.ค. 58</v>
          </cell>
        </row>
        <row r="24">
          <cell r="I24" t="str">
            <v>อยู่ระหว่างดำเนินการจัดหา</v>
          </cell>
          <cell r="M24" t="str">
            <v>รอลงนามในสัญญา</v>
          </cell>
        </row>
        <row r="25">
          <cell r="I25" t="str">
            <v>รอลงนามในสัญญา</v>
          </cell>
          <cell r="M25" t="str">
            <v>PO = 859,000 บาท</v>
          </cell>
        </row>
        <row r="26">
          <cell r="I26" t="str">
            <v>อยู่ระหว่างดำเนินการจัดหา</v>
          </cell>
          <cell r="M26" t="str">
            <v>รอลงนามในสัญญา</v>
          </cell>
        </row>
        <row r="27">
          <cell r="I27" t="str">
            <v>อยู่ระหว่างดำเนินการจัดหา</v>
          </cell>
          <cell r="M27" t="str">
            <v>อยู่ระหว่างขออนุมัติจัดหา</v>
          </cell>
        </row>
        <row r="28">
          <cell r="I28" t="str">
            <v>อยู่ระหว่างดำเนินการจัดหา</v>
          </cell>
          <cell r="M28" t="str">
            <v> รอลงนามในสัญญา  30 พ.ย. 58</v>
          </cell>
        </row>
        <row r="29">
          <cell r="I29" t="str">
            <v>รอลงนามในสัญญา</v>
          </cell>
          <cell r="M29" t="str">
            <v xml:space="preserve">PO = 785,000 บาท   </v>
          </cell>
        </row>
        <row r="30">
          <cell r="I30" t="str">
            <v>อยู่ระหว่างดำเนินการจัดหา</v>
          </cell>
          <cell r="M30" t="str">
            <v>รอลงนามในสัญญา</v>
          </cell>
        </row>
        <row r="31">
          <cell r="I31" t="str">
            <v>รอลงนามในสัญญา</v>
          </cell>
          <cell r="M31" t="str">
            <v xml:space="preserve">PO = 785,000 บาท  </v>
          </cell>
        </row>
        <row r="32">
          <cell r="I32" t="str">
            <v>อยู่ระหว่างดำเนินการจัดหา</v>
          </cell>
          <cell r="M32" t="str">
            <v>อยู่ระหว่างพิจารณาคุณสมบัติผู้ขาย</v>
          </cell>
        </row>
        <row r="33">
          <cell r="I33" t="str">
            <v>อยู่ระหว่างดำเนินการจัดหา</v>
          </cell>
          <cell r="M33" t="str">
            <v> ลงนามในสัญญา 10 พ.ย. 58  (2,100,000 บาท) </v>
          </cell>
        </row>
        <row r="34">
          <cell r="I34" t="str">
            <v>อยู่ระหว่างดำเนินการจัดหา</v>
          </cell>
          <cell r="M34" t="str">
            <v xml:space="preserve">รอลงนามในสัญญา 30 พ.ย. 58  (2,118,000 บาท) </v>
          </cell>
        </row>
        <row r="35">
          <cell r="I35" t="str">
            <v>อยู่ระหว่างดำเนินการจัดหา</v>
          </cell>
          <cell r="M35" t="str">
            <v>อยู่ระหว่างการดำเนินการประกวดราคาอิเล็ก-ทรอนิกส์ (e-bidding) ครั้งที่ 2</v>
          </cell>
        </row>
        <row r="36">
          <cell r="I36"/>
          <cell r="M36" t="str">
            <v>โอนงบประมาณให้ ทบ. จัดหา (เบิกแทนกัน)</v>
          </cell>
        </row>
        <row r="40">
          <cell r="I40" t="str">
            <v>รอลงนามในสัญญา</v>
          </cell>
          <cell r="M40" t="str">
            <v>ลงนามในสัญญา 26 พ.ย. 58</v>
          </cell>
        </row>
        <row r="41">
          <cell r="I41" t="str">
            <v>อยู่ระหว่างดำเนินการจัดหา</v>
          </cell>
          <cell r="M41" t="str">
            <v>  เสนอราคาเมื่อ 25 พ.ย. 58  ไม่มีผู้ขาย  อยู่ระหว่างขออนุมัติจัดหาวิธีพิเศษ</v>
          </cell>
        </row>
        <row r="42">
          <cell r="I42"/>
          <cell r="M42" t="str">
            <v> ประกาศผลการเสนอราคา 9 ธ.ค. 58 </v>
          </cell>
        </row>
        <row r="43">
          <cell r="I43" t="str">
            <v>อยู่ระหว่างดำเนินการจัดหา</v>
          </cell>
          <cell r="M43" t="str">
            <v xml:space="preserve"> เสนอราคา 1 ธ.ค. 58 </v>
          </cell>
        </row>
        <row r="44">
          <cell r="I44" t="str">
            <v>อยู่ระหว่างดำเนินการจัดหา</v>
          </cell>
          <cell r="M44" t="str">
            <v> ประกาศประกวดราคาในวันที่  19 พ.ย.58  </v>
          </cell>
        </row>
        <row r="45">
          <cell r="I45" t="str">
            <v>อยู่ระหว่างดำเนินการจัดหา</v>
          </cell>
          <cell r="M45" t="str">
            <v xml:space="preserve">ประกาศประกวดราคาในวันที่  23 พ.ย.58 </v>
          </cell>
        </row>
        <row r="46">
          <cell r="I46" t="str">
            <v>อยู่ระหว่างดำเนินการจัดหา</v>
          </cell>
          <cell r="M46" t="str">
            <v xml:space="preserve">รอลงนามในสัญญา  </v>
          </cell>
        </row>
        <row r="47">
          <cell r="I47" t="str">
            <v>อยู่ระหว่างดำเนินการจัดหา</v>
          </cell>
          <cell r="M47" t="str">
            <v>เสนอราคา 1 ธ.ค. 58</v>
          </cell>
        </row>
        <row r="48">
          <cell r="I48" t="str">
            <v>อยู่ระหว่างดำเนินการจัดหา</v>
          </cell>
          <cell r="M48" t="str">
            <v>เสนอราคา 1 ธ.ค. 58</v>
          </cell>
        </row>
        <row r="49">
          <cell r="I49" t="str">
            <v>อยู่ระหว่างดำเนินการจัดหา</v>
          </cell>
          <cell r="M49" t="str">
            <v>รอลงนามในสัญญา</v>
          </cell>
        </row>
        <row r="50">
          <cell r="I50" t="str">
            <v>อยู่ระหว่างดำเนินการจัดหา</v>
          </cell>
          <cell r="M50" t="str">
            <v>  เสนอราคาเมื่อ 25 พ.ย. 58  ไม่มีผู้ขาย  อยู่ระหว่างขออนุมัติจัดหาวิธีพิเศษ</v>
          </cell>
        </row>
        <row r="51">
          <cell r="I51" t="str">
            <v>อยู่ระหว่างดำเนินการจัดหา</v>
          </cell>
          <cell r="M51" t="str">
            <v>เสนอราคา 4 ธ.ค. 58</v>
          </cell>
        </row>
        <row r="52">
          <cell r="I52" t="str">
            <v>อยู่ระหว่างดำเนินการจัดหา</v>
          </cell>
          <cell r="M52" t="str">
            <v>เสนอราคา 2 ธ.ค. 58</v>
          </cell>
        </row>
        <row r="53">
          <cell r="I53" t="str">
            <v>อยู่ระหว่างดำเนินการจัดหา</v>
          </cell>
          <cell r="M53" t="str">
            <v>เสนอราคา 1 ธ.ค. 58</v>
          </cell>
        </row>
        <row r="54">
          <cell r="I54" t="str">
            <v>อยู่ระหว่างดำเนินการจัดหา</v>
          </cell>
          <cell r="M54" t="str">
            <v>เสนอราคา 1 ธ.ค. 58</v>
          </cell>
        </row>
        <row r="55">
          <cell r="I55" t="str">
            <v>อยู่ระหว่างดำเนินการจัดหา</v>
          </cell>
          <cell r="M55" t="str">
            <v> เสนอราคา 27 พ.ย. 58 </v>
          </cell>
        </row>
        <row r="56">
          <cell r="I56" t="str">
            <v>อยู่ระหว่างดำเนินการจัดหา</v>
          </cell>
          <cell r="M56" t="str">
            <v>เสนอราคา 1 ธ.ค. 58</v>
          </cell>
        </row>
        <row r="57">
          <cell r="I57" t="str">
            <v>อยู่ระหว่างดำเนินการจัดหา</v>
          </cell>
          <cell r="M57" t="str">
            <v>เสนอราคา 30 พ.ย. 58</v>
          </cell>
        </row>
        <row r="58">
          <cell r="I58" t="str">
            <v>อยู่ระหว่างดำเนินการจัดหา</v>
          </cell>
          <cell r="M58" t="str">
            <v>รอลงนามในสัญญา</v>
          </cell>
        </row>
        <row r="59">
          <cell r="I59" t="str">
            <v>อยู่ระหว่างดำเนินการจัดหา</v>
          </cell>
          <cell r="M59" t="str">
            <v>เสนอราคา 1 ธ.ค. 58</v>
          </cell>
        </row>
        <row r="60">
          <cell r="I60" t="str">
            <v>อยู่ระหว่างดำเนินการจัดหา</v>
          </cell>
          <cell r="M60" t="str">
            <v>รอลงนามในสัญญา</v>
          </cell>
        </row>
        <row r="61">
          <cell r="I61" t="str">
            <v>อยู่ระหว่างดำเนินการจัดหา</v>
          </cell>
          <cell r="M61" t="str">
            <v>ลงนามในสัญญา 20 พ.ย. 58</v>
          </cell>
        </row>
        <row r="62">
          <cell r="I62" t="str">
            <v>อยู่ระหว่างดำเนินการจัดหา</v>
          </cell>
          <cell r="M62" t="str">
            <v>ลงนามในสัญญา 10 พ.ย. 58</v>
          </cell>
        </row>
        <row r="63">
          <cell r="I63" t="str">
            <v>อยู่ระหว่างดำเนินการจัดหา</v>
          </cell>
          <cell r="M63" t="str">
            <v>เสนอราคา 1 ธ.ค. 58</v>
          </cell>
        </row>
        <row r="64">
          <cell r="I64" t="str">
            <v>อยู่ระหว่างดำเนินการจัดหา</v>
          </cell>
          <cell r="M64" t="str">
            <v>เสนอราคา 1 ธ.ค. 58</v>
          </cell>
        </row>
        <row r="65">
          <cell r="I65" t="str">
            <v>อยู่ระหว่างดำเนินการจัดหา</v>
          </cell>
          <cell r="M65" t="str">
            <v>เสนอราคา 4 ธ.ค. 58</v>
          </cell>
        </row>
        <row r="66">
          <cell r="I66" t="str">
            <v>อยู่ระหว่างดำเนินการจัดหา</v>
          </cell>
          <cell r="M66" t="str">
            <v>เสนอราคา 30 พ.ย. 58</v>
          </cell>
        </row>
        <row r="67">
          <cell r="I67" t="str">
            <v>พิจารณารูปแบบรายการ</v>
          </cell>
          <cell r="M67" t="str">
            <v>ขออนุมัติ ผบช. จัดหาวิธีพิเศษ</v>
          </cell>
        </row>
        <row r="68">
          <cell r="I68" t="str">
            <v> รอลงนามในสัญญา </v>
          </cell>
          <cell r="M68" t="str">
            <v>วงเงินผูกพันข้ามปี / รอลงนามในสัญญา</v>
          </cell>
        </row>
        <row r="69">
          <cell r="I69" t="str">
            <v xml:space="preserve">อยู่ระหว่างขออนุมัติเปลี่ยนแบบรูปรายการ </v>
          </cell>
          <cell r="M69" t="str">
            <v> อยู่ระหว่างขออนุมัติเปลี่ยนแบบรูปรายการ </v>
          </cell>
        </row>
        <row r="70">
          <cell r="I70" t="str">
            <v>อยู่ระหว่างดำเนินการจัดหา</v>
          </cell>
          <cell r="M70" t="str">
            <v>เสนอราคา 1 ธ.ค. 58</v>
          </cell>
        </row>
        <row r="71">
          <cell r="I71" t="str">
            <v>อยู่ระหว่าขออนุมัติเปลี่ยนแปลงแบบรูปรายการ</v>
          </cell>
          <cell r="M71" t="str">
            <v>อยู่ระหว่าขออนุมัติเปลี่ยนแปลงแบบรูปรายการ</v>
          </cell>
        </row>
        <row r="72">
          <cell r="I72" t="str">
            <v> อยู่ระหว่างขออนุมัติเปลี่ยนแปลงแบบรูปรายการ </v>
          </cell>
          <cell r="M72" t="str">
            <v> อยู่ระหว่างขออนุมัติเปลี่ยนแปลงแบบรูปรายการ </v>
          </cell>
        </row>
        <row r="73">
          <cell r="I73" t="str">
            <v xml:space="preserve">อยู่ระหว่างขออนุมัติเปลี่ยนแปลงแบบรูปรายการ </v>
          </cell>
          <cell r="M73" t="str">
            <v>ประกาศสอบราคา 26 พ.ย. - 3 ธ.ค. 58 และเปิดซองเสนอราคา 9 ธ.ค. 58</v>
          </cell>
        </row>
        <row r="74">
          <cell r="I74" t="str">
            <v>อยู่ระหว่างดำเนินการจัดหา</v>
          </cell>
          <cell r="M74" t="str">
            <v> อยู่ระหว่างประกาศสอบราคา  23 พ.ย. - 3 ธ.ค. 58 และจะเปิดซองเสนอราคา 4 ธ.ค. 58</v>
          </cell>
        </row>
        <row r="75">
          <cell r="I75" t="str">
            <v>อยู่ระหว่างดำเนินการจัดหา</v>
          </cell>
          <cell r="M75" t="str">
            <v>รอลงนามในสัญญา</v>
          </cell>
        </row>
        <row r="76">
          <cell r="I76" t="str">
            <v> อยู่ระหว่างดำเนินการจัดหา </v>
          </cell>
          <cell r="M76" t="str">
            <v> ลงนามในสัญญา 26 พ.ย. 58 </v>
          </cell>
        </row>
        <row r="77">
          <cell r="I77" t="str">
            <v xml:space="preserve"> คณะกรรมการกำหนดราคากลาง </v>
          </cell>
          <cell r="M77" t="str">
            <v xml:space="preserve">รอลงนามในสัญญา </v>
          </cell>
        </row>
        <row r="78">
          <cell r="I78" t="str">
            <v xml:space="preserve"> อยู่ระหว่างดำเนินการจัดหา </v>
          </cell>
          <cell r="M78" t="str">
            <v>เสนอราคาเมื่อ 26 พ.ย. 58</v>
          </cell>
        </row>
        <row r="79">
          <cell r="I79" t="str">
            <v xml:space="preserve"> อยู่ระหว่างดำเนินการจัดหา </v>
          </cell>
          <cell r="M79" t="str">
            <v>รอลงนามในสัญญา</v>
          </cell>
        </row>
        <row r="80">
          <cell r="I80" t="str">
            <v>อยู่ระหว่างจัดทำผังและแบบรูปรายการ</v>
          </cell>
          <cell r="M80" t="str">
            <v>อยู่ระหว่างจัดทำผังและแบบรูปรายการ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รป."/>
    </sheetNames>
    <sheetDataSet>
      <sheetData sheetId="0">
        <row r="11">
          <cell r="I11" t="str">
            <v>อยู่ระหว่างขอรับความเห็นชอบ</v>
          </cell>
          <cell r="M11" t="str">
            <v>ประกาศเชิญชวน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ฐ.ตร."/>
    </sheetNames>
    <sheetDataSet>
      <sheetData sheetId="0">
        <row r="11">
          <cell r="I11" t="str">
            <v xml:space="preserve"> - ใช้คุณลักษณะเฉพาะ สพฐ.ตร. เลขที่ 16/2558 ผบช.สพฐ.ตร. อนุมัติ ลง 31 ส.ค. 58
 - คณะกรรมการกำหนดราคากลาง เป็นเงิน 5,500,000 บาท
 - ประกาศราคากลาง วันที่ 8 ต.ค. 58
 - ขอรับความเห็นชอบ วันที่ 2 - 7 ต.ค. 58 โดยวิธี e-bidding
 - ประกาศเชิญชวนการประกวดราคาฯ  วันที่ 15 - 21 ต.ค. 58
 - ยื่นเสนอราคา วันที่ 30 ต.ค.58
 - ขณะนี้อยู่ระหว่างการพิจารณาข้อวิจารณ์ของผู้วิจารณ์</v>
          </cell>
          <cell r="M11" t="str">
            <v xml:space="preserve"> - ประกาศร่างเอกสารประกวดราคาฯ วันที่ 8-15 ต.ค. 58 เพื่อให้สาธารณขนวิจารณ์
 - ประกาศเชิญชวนการประกวดราคาฯ  วันที่ 16 - 26 ต.ค. 58
 - ผลปรากฎว่า มีผู้วิจารณ์ร่างเอกสารฯ วันที่ 12 ต.ค. 58 แต่เจ้าหน้าที่พัสดุได้รับเอกสาร วันที่ 22 ต.ค. 58 เนื่องจากเป็นข้อผิดพลาดของทางราชการด้านการรับส่งเอกสารจึงได้ประกาศยกเลิกประกาศเชิญชวนครั้งนี้ ในวันที่ 26 ต.ค. 58
 - ขณะนี้อยู่ระหว่างการพิจารณาข้อวิจารณ์ของผู้วิจารณ์</v>
          </cell>
        </row>
        <row r="12">
          <cell r="I12" t="str">
            <v xml:space="preserve"> - ใช้คุณลักษณะเฉพาะ สพฐ.ตร. เลขที่ 15/2558 ผบช.สพฐ.ตร. อนุมัติ ลง 31 ส.ค. 58
- ประกาศราคากลาง วันที่  24 ก.ย. 58 เป็นเงิน 1,500,000 บาท
 -ประกาศราคากลาง วันที่ 24 ก.ย. 58
 - ประกาศสอบราคา วันที่ 25 ก.ย. - 9 ต.ค. 58
 - เปิดซองสอบราคา วันที่ 12 ต.ค.58 บริษัท พาราไซแอนติฟิค จำกัด เสนอราคาต่ำสุด 1,475,000 บาท
 - ลงนามในสัญญา วันที่ 2 พ.ย. 58
 - กำหนดส่งมอบพัสดุ วันที่ 30 เ.ม.ย. 59</v>
          </cell>
          <cell r="M12" t="str">
            <v xml:space="preserve"> - ลงนามในสัญญา วันที่ 9 พ.ย. 58
 - กำหนดส่งมอบพัสดุ วันที่ 6 พ.ค. 59</v>
          </cell>
        </row>
        <row r="13">
          <cell r="I13" t="str">
            <v xml:space="preserve"> - ใช้คุณลักษณะเฉพาะ สพฐ.ตร. เลขที่ 15/2558 ผบช.สพฐ.ตร. อนุมัติ ลง 31 ส.ค. 58
 - คณะกรรมการกำหนดราคากลาง เป็นเงิน 1,900,000 บาท
 - ขอรับความเห็นชอบ วันที่ 8 - 9 ต.ค.58 โดยวิธีสอบราคา
 - ประกาศสอบราคา วันที่ 10 -20 ต.ค. 58
 - เปิดซองสอบราคา วันที่ 21 ต.ค. 58
 - ลงนามในสัญญา 6 พ.ย. 58
 - กำหนดส่งมอบพัสดุภายใน 120 วัน (6 มี.ค. 59)</v>
          </cell>
          <cell r="M13" t="str">
            <v xml:space="preserve"> - เปิดซองสอบราคา วันที่ 21 ต.ค. 58 มีผู้เสนอราคา 1 ราย คือ บริษัท พาราไซแอนติฟิค จำกัด เสนอราคาเป็นเงิน 1,485,500 บาท
 - ลงนามในสัญญา 6 พ.ย. 58
 - กำหนดส่งมอบพัสดุภายใน 120 วัน (6 มี.ค. 59)</v>
          </cell>
        </row>
        <row r="14">
          <cell r="I14" t="str">
            <v xml:space="preserve"> - ใช้คุณลักษณะเฉพาะ สพฐ.ตร.เลขที่ 10-2549 ผบช.สนว.ตร. อนุมัติ ลง 13 ก.ค. 49
 - แต่งตั้งคณะกรรมการกำหนดราคากลาง วันที่ 11 ก.ย. 58
 - คณะกรรมการกำหนดราคากลาง จำนวน 154,916.63 บาท
 - อนุมัติใช้ราคากลาง วันที่ 24 ก.ย. 58
 - ประกาศราคากลาง วันที่ 24 ก.ย. 58
 - ขอรับความเห็นชอบและแต่งตั้งคณะกรรมการตรวจรับพัสดุ โดยวิธีตกลงราคา(ตาม ว.299) ลง 30 ก.ย. 58
 - ผบก.อก.สพฐ.ตร. อนุมัติจัดซื้อ ลง 8 ต.ค.58
 - ลงนามในสัญญา วันที่ 28 ต.ค. 58
 - กำหนดส่งมอบพัสดุ ภายใน 60 วัน (27 ธ.ค. 58)</v>
          </cell>
          <cell r="M14" t="str">
            <v xml:space="preserve"> - ลงนามในสัญญา วันที่ 28 ต.ค. 58
 - กำหนดส่งมอบพัสดุ ภายใน 60 วัน (27 ธ.ค. 58)</v>
          </cell>
        </row>
        <row r="15">
          <cell r="I15" t="str">
            <v xml:space="preserve"> - ใช้คุณลักษณะเฉพาะ สพฐ.ตร. เลขที่ 9/2556 ผบช.สพฐ.ตร. อนุมัติ ลง 25 ก.ย. 56
 - ประกาศราคากลาง วันที่ 29 ก.ย.58
 - เผยแพร่ประกาศและเอกสารประกวดราคาฯ วันที่ 29 ก.ย. - 6 ต.ค. 58
 - ยื่นเสนอราคา วันที่ 12 ต.ค. 58 บริษัท พรพลอะนาลิติคอล จำกัด เสนอราคาต่ำสุด เป็นเงิน 3,000,000 บาท
 - ลงนามในสัญญา วันที่ 2 พ.ย. 58
 - กำหนดส่งมอบพัสดุ วันที่ 10 พ.ค. 58</v>
          </cell>
          <cell r="M15" t="str">
            <v xml:space="preserve"> - ลงนามในสัญญา วันที่ 6 พ.ย. 58
 - กำหนดส่งมอบพัสดุ วันที่ 3 พ.ค. 59</v>
          </cell>
        </row>
        <row r="16">
          <cell r="I16" t="str">
            <v xml:space="preserve"> - เครื่องเขย่าสารละลาย DNA ใช้คุณลักษณะเฉพาะ สพฐ.ตร. เลขที่ 8/2559 ผบช.สพฐ.ตร. อนุมัติ ลง 31 ส.ค. 58
 - คณะกรรมการกำหนดราคากลาง เป็นเงิน 12,302,000 บาท
 - ประกาศราคากลาง วันที่ 30 ก.ย.58
 - เผยแพร่ประกาศและเอกสารประกวดราคาฯ วันที่ 13 - 20 ต.ค. 58
 - ยื่นเสนอราคา วันที่ 3 พ.ย. 58
 - อยู่ระหว่างพิจารณาผลการประกวดราคาและขออนุมัติซื้อ
 - กำหนดทำสัญญา วันที่ 11 พ.ย. 58
 - กำหนดส่งมอบพัสดุ วันที่ 10 เม.ย. 59</v>
          </cell>
          <cell r="M16" t="str">
            <v xml:space="preserve"> - บริษัท ยีนพลัส จำกัด เสนอราคาต่ำสุด เป็นเงิน 12,300,000 บาท
 - พิจารณาผลการประกวดราคาและขออนุมัติซื้อลงวันที่ 5 พ.ย.58
 - ลงนามในสัญญา วันที่ 19 พ.ย. 58
 - กำหนดส่งมอบพัสดุภายใน 180 วัน (วันที่ 16 พ.ค. 58)
 - กำหนดส่งมอบพัสดุภายใน 180 วัน (วันที่ 16 พ.ค. 59)</v>
          </cell>
        </row>
        <row r="17">
          <cell r="I17" t="str">
            <v xml:space="preserve"> - ใช้คุณลักษณะเฉพาะ สพฐ.ตร.เลขที่ 9/2558 ผบช.สพฐ.ตร. อนุมัติ ลง 25 ก.ย. 58
 - คณะกรรมการกำหนดราคากลาง เป็นเงิน 3,000,000 บาท
 - ประกาศราคากลาง วันที่ 8 ต.ค. 58
 - ขอรับความเห็นชอบ  วันที่ 2 - 7 ต.ค. 58 โดยวิธี e - bidding
 - ประกาศเชิญชวนการประกวดราคาฯ วันที่ 8 -14 ต.ค. 58
 - ยื่นเสนอราคา วันที่ 20 ต.ค. 58
 - มีผู้เสนอราคา 1 ราย คือ บริษัท พรพลอะนาลิติคอล จำกัด เสนอราคาเป็นเงิน 3,000,000 บาท 
 - ลงนามในสัญญาวันที่ 9 พ.ย. 58
 - กำหนดส่งมอบพัสดุ วันที่ 9 มี.ค. 59</v>
          </cell>
          <cell r="M17" t="str">
            <v xml:space="preserve"> - ลงนามในสัญญา วันที่ 9 พ.ย. 58
 - กำหนดส่งมอบพัสดุภายใน 120 วัน (วันที่ 9 มี.ค. 59)</v>
          </cell>
        </row>
        <row r="23">
          <cell r="I23" t="str">
            <v xml:space="preserve"> - อนุมัติแต่งตั้ง คณะกรรมการกำหนดราคากลาง วันที่ 20 ส.ค. 58
 - เผยแพร่/ประกาศ ราคากลาง วันที่ 2 ก.ย. 58 เป็นเงิน 10,614,000 บาท
 - เผยแพร่ประกาศและเอกสารประกวดราคาฯ วันที่ 30 ก.ย. - 2 ต.ค. 58
 - ผลปรากฎว่าไม่มีผู้วิจารณ์
 - ขอรับความเห็นชอบและขออนุมัติแต่งตั้งคณะกรรมการพิจารณาผลการประกวดราคาอิเล็คทรอนิกส์,คณะกรรมการตรวจรับการจ้าง ลงวันที่ 30 ก.ย. 58
 - ประกาศประกวดราคาฯ วันที่ 5 - 12 ต.ค. 58
 - ยื่นเสนอราคา วันที่ 22 ต.ค. 58 มีผู้มายื่นเสนอราคา 1 ราย คือ ห้างหุ้นส่วนจำกัด พรชัย บูรพา เป็นเงิน 10,490,000 บาท
 - คณะกรรมการพิจารณาผลการประกวดราคาได้เชิญ ห้างหุ้นส่วนจำกัด พรชัยบูรพา มาต่อรองราคาเมื่อวันที่ 30 ต.ค. 58 เป็นเงิน 10,490,000 บาท
 - ประกาศผลผู้ชนะเสนอราคา วันที่ 3 พ.ย. 58
 - นัดลงนามในสัญญา วันที่ 20 พ.ย. 58</v>
          </cell>
          <cell r="M23" t="str">
            <v xml:space="preserve"> - ลงนามในสัญญา วันที่ 19 พ.ย. 58 พร้อมส่งมอบพื้นที่ให้เริ่มดำเนินการตามสัญญา ระยะเวลา 300 วัน (เริ่มตั้งแต่ 20 พ.ย. 58 - 6 ก.ย. 59)</v>
          </cell>
        </row>
        <row r="24">
          <cell r="I24"/>
          <cell r="M24"/>
        </row>
        <row r="25">
          <cell r="I25"/>
          <cell r="M25"/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ทส."/>
    </sheetNames>
    <sheetDataSet>
      <sheetData sheetId="0">
        <row r="11">
          <cell r="I11" t="str">
            <v>อยู่ระหว่างเรียกบริษัทลงนามในสัญญา</v>
          </cell>
          <cell r="M11" t="str">
            <v>ลงนามในสัญญาแล้ว เมื่อวันที่ 23 พ.ย.58 คาดว่าจะสามารถส่งของได้ภายในเดือน ธ.ค.58 </v>
          </cell>
        </row>
        <row r="12">
          <cell r="I12" t="str">
            <v>อยู่ระหว่างเรียกบริษัทลงนามในสัญญา</v>
          </cell>
          <cell r="M12" t="str">
            <v>อยู่ระหว่างเรียกบริษัทมาลงนามในสัญญา</v>
          </cell>
        </row>
        <row r="13">
          <cell r="I13" t="str">
            <v>อยู่ระหว่างเรียกบริษัทลงนามในสัญญา</v>
          </cell>
          <cell r="M13" t="str">
            <v>อยู่ระหว่างเรียกบริษัทมาลงนามในสัญญา</v>
          </cell>
        </row>
        <row r="14">
          <cell r="I14" t="str">
            <v>อยู่ระหว่าง การทำประชาพิจารณ์</v>
          </cell>
          <cell r="M14" t="str">
            <v>อยู่ระหว่างขออนุมัติจัดซื้อ คาดว่าจะสามารถลงนามฯ ได้ภายในวันที่ 27 พ.ย.57</v>
          </cell>
        </row>
        <row r="15">
          <cell r="I15" t="str">
            <v>อยู่ระหว่างร่าง TOR</v>
          </cell>
          <cell r="M15" t="str">
            <v>  อยู่ระหว่างขั้นตอนคณะกรรมการกำหนดราคากลาง  </v>
          </cell>
        </row>
        <row r="16">
          <cell r="I16" t="str">
            <v>อยู่ระหว่างจัดหา</v>
          </cell>
          <cell r="M16" t="str">
            <v> อยู่ระหว่างขั้นตอนคณะกรรมการกำหนดราคากลาง </v>
          </cell>
        </row>
        <row r="17">
          <cell r="I17" t="str">
            <v>อยู่ระหว่าง การทำประชาพิจารณ์</v>
          </cell>
          <cell r="M17" t="str">
            <v>  อยู่ระหว่างขออนุมัติใช้ TOR และกำหนดราคากลาง </v>
          </cell>
        </row>
        <row r="18">
          <cell r="I18" t="str">
            <v>อยู่ระหว่างร่าง TOR</v>
          </cell>
          <cell r="M18" t="str">
            <v>  อยู่ระหว่างขั้นตอนคณะกรรมการกำหนดราคากลาง  </v>
          </cell>
        </row>
        <row r="19">
          <cell r="I19" t="str">
            <v>อยู่ระหว่างร่าง TOR</v>
          </cell>
          <cell r="M19" t="str">
            <v>  อยู่ระหว่างขั้นตอนคณะกรรมการกำหนดราคากลาง  </v>
          </cell>
        </row>
        <row r="20">
          <cell r="I20" t="str">
            <v>อยู่ระหว่างร่าง TOR</v>
          </cell>
          <cell r="M20" t="str">
            <v>อยู่ระหว่างร่าง TOR</v>
          </cell>
        </row>
        <row r="24">
          <cell r="I24" t="str">
            <v>ขณะนี้ สส. ได้ทำหนังสือไปที่ สกบ.(ยธ) เพื่อขอแบบและกรรมการกำหนดราคากลาง     (อยู่ระหว่างรอหนังสือตอบกลับ) ส่วนอาคารเรือนแถวฯ จังหวัดพิษณุโลก (ศบส.6พล) และอาคารที่ทำการสงขลา (ฝสส.7 สส.) เป็นการก่อสร้างในพื้นที่อาคารเดิม ขณะนี้อยู่ระหว่าง คณะกรรมการของ สส. ร่วมกับโยธาจังหวัดประเมินราคากลางเพื่อจำหน่ายอาคารเดิม</v>
          </cell>
          <cell r="M24" t="str">
            <v>  - อยู่ระหว่างการแต่งตั้งคณะกรรมการกำหนดราคากลาง เพื่อประกวดราคา (E-Bidding)
 - สำหรับอาคารเรือนแถวจังหวัดพิษณุโลก ที่เป็นการก่อสร้างในพื้นที่อาคารเดิม กำหนดประกาศขายทอดตลาด 26 พ.ย. - 11 ธ.ค.58 และกำหนดเสนอราคา 14 ธ.ค.58 </v>
          </cell>
        </row>
        <row r="25">
          <cell r="I25"/>
          <cell r="M25" t="str">
            <v>  - อยู่ระหว่างการแต่งตั้งคณะกรรมการกำหนดราคากลาง เพื่อประกวดราคา (E-Bidding)
 - สำหรับอาคารที่ทำการ ฝสส.7 สส. ที่เป็นการก่อสร้างในพื้นที่อาคารเดิม กำหนดประกาศขายทอดตลาด 27 พ.ย. - 14 ธ.ค.58 และกำหนดเสนอราคา 15 ธ.ค.58   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1"/>
    </sheetNames>
    <sheetDataSet>
      <sheetData sheetId="0">
        <row r="11">
          <cell r="I11" t="str">
            <v>อยู่ระหว่างประกาศประกวดราคา</v>
          </cell>
          <cell r="M11" t="str">
            <v>ได้ผู้รับจ้างแล้ว อยู่ระหว่างรอลงนามในสัญญา</v>
          </cell>
        </row>
        <row r="12">
          <cell r="I12" t="str">
            <v>อยู่ระหว่างประกาศประกวดราคา</v>
          </cell>
          <cell r="M12" t="str">
            <v>ได้ผู้รับจ้างแล้ว อยู่ระหว่างรอลงนามในสัญญา</v>
          </cell>
        </row>
        <row r="13">
          <cell r="I13" t="str">
            <v>อยู่ระหว่างประกาศประกวดราคา</v>
          </cell>
          <cell r="M13" t="str">
            <v>ได้ผู้รับจ้างแล้ว อยู่ระหว่างรอลงนามในสัญญา</v>
          </cell>
        </row>
        <row r="14">
          <cell r="I14"/>
          <cell r="M14"/>
        </row>
        <row r="15">
          <cell r="I15"/>
          <cell r="M15"/>
        </row>
        <row r="16">
          <cell r="I16"/>
          <cell r="M16"/>
        </row>
        <row r="20">
          <cell r="I20"/>
          <cell r="M20"/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ศ."/>
    </sheetNames>
    <sheetDataSet>
      <sheetData sheetId="0">
        <row r="11">
          <cell r="I11" t="str">
            <v xml:space="preserve"> กำหนดประกาศเชิญชวน 15 ธ.ค.58 ebidding 22 ธ.ค.58 ลงนาม 30 ธ.ค.58 </v>
          </cell>
          <cell r="M11" t="str">
            <v xml:space="preserve"> อยู่ระหว่างพิจารณาปรับแก้การกำหนดคุณลักษณะเฉพาะ(บางรายการ) ให้สอดคล้องกับการออกแบบอาคารที่มีการปรับแก้ในเรื่องการประหยัดพลังงาน เนื่องจาการจัดซื้อต้องดำเนินการในภาพรวมสามารถผูกพันและลงนามได้ภายในไตรมาสที่ 1 </v>
          </cell>
        </row>
        <row r="12">
          <cell r="I12" t="str">
            <v xml:space="preserve"> ประกาศเชิญชวน 9-17 พ.ย.58 เสนอราคา e-bidding   20 พ.ย.58 </v>
          </cell>
          <cell r="M12" t="str">
            <v> ลงนามในสัญญาวันที่ 29 ต.ค.58  
ส่งมอบวันที่ 24 พ.ย.58 อยู่ในขั้นตอนการตรวจรับ   </v>
          </cell>
        </row>
        <row r="13">
          <cell r="I13" t="str">
            <v xml:space="preserve"> ประกาศเชิญชวน 9-17 พ.ย.58 เสนอราคา e-bidding   20 พ.ย.58 </v>
          </cell>
          <cell r="M13" t="str">
            <v>  ลงนามในสัญญาวันที่ 29 ต.ค.58  
ส่งมอบวันที่ 24 พ.ย.58 อยู่ในขั้นตอนการตรวจรับ    </v>
          </cell>
        </row>
        <row r="14">
          <cell r="I14" t="str">
            <v xml:space="preserve"> ประกาศเชิญชวน 9-17 พ.ย.58 เสนอราคา e-bidding   20 พ.ย.58 </v>
          </cell>
          <cell r="M14" t="str">
            <v>  ประกาศเชิญชวนในอินเตอร์เน็ต 9 - 19 พ.ย.58  เสนอราคา  23 พ.ย.58    ลงนามในสัญญาภายใน 30 พ.ย.58      </v>
          </cell>
        </row>
        <row r="15">
          <cell r="I15" t="str">
            <v xml:space="preserve"> ประกาศเชิญชวน 9-17 พ.ย.58 เสนอราคา e-bidding   20 พ.ย.58 </v>
          </cell>
          <cell r="M15" t="str">
            <v>  ประกาศเชิญชวนในอินเตอร์เน็ต 9 - 19    พ.ย.58  เสนอราคา  23 พ.ย.58  ลงนามในสัญญาภายใน 30 พ.ย.58     </v>
          </cell>
        </row>
        <row r="16">
          <cell r="I16" t="str">
            <v xml:space="preserve"> ประกาศเชิญชวน 9-17 พ.ย.58 เสนอราคา e-bidding   20 พ.ย.58 </v>
          </cell>
          <cell r="M16" t="str">
            <v> ประกาศเชิญชวนในอินเตอร์เน็ต 9 - 19  พ.ย.58   เสนอราคา  23 พ.ย.58   ลงนามในสัญญาภายใน 30 พ.ย.58  </v>
          </cell>
        </row>
        <row r="17">
          <cell r="I17" t="str">
            <v xml:space="preserve"> ประกาศเชิญชวน 9-17 พ.ย.58 เสนอราคา e-bidding   20 พ.ย.58 </v>
          </cell>
          <cell r="M17" t="str">
            <v> ประกาศเชิญชวนในอินเตอร์เน็ต 9 - 19   พ.ย.58  เสนอราคา  23 พ.ย.58    ลงนามในสัญญาภายใน 30 พ.ย.58   </v>
          </cell>
        </row>
        <row r="18">
          <cell r="I18" t="str">
            <v xml:space="preserve"> ประกาศเชิญชวน 9-17 พ.ย.58 เสนอราคา e-bidding   20 พ.ย.58 </v>
          </cell>
          <cell r="M18" t="str">
            <v>  ประกาศเชิญชวนในอินเตอร์เน็ต 9 - 19   พ.ย.58  เสนอราคา  23 พ.ย.58   ลงนามในสัญญาภายใน 30 พ.ย.58   </v>
          </cell>
        </row>
        <row r="19">
          <cell r="I19" t="str">
            <v xml:space="preserve"> ประกาศเชิญชวน 9-17 พ.ย.58 เสนอราคา e-bidding   20 พ.ย.58 </v>
          </cell>
          <cell r="M19" t="str">
            <v>  ประกาศเชิญชวนในอินเตอร์เน็ต 9 - 19   พ.ย.58 เสนอราคา  23 พ.ย.58  ลงนามในสัญญาภายใน 30 พ.ย.58   </v>
          </cell>
        </row>
        <row r="20">
          <cell r="I20" t="str">
            <v xml:space="preserve"> ประกาศเชิญชวน 9-17 พ.ย.58 เสนอราคา e-bidding   20 พ.ย.58 </v>
          </cell>
          <cell r="M20" t="str">
            <v>  ประกาศเชิญชวนในอินเตอร์เน็ต 9 - 19  พ.ย.58  เสนอราคา  23 พ.ย.58    ลงนามในสัญญาภายใน 30 พ.ย.58   </v>
          </cell>
        </row>
        <row r="21">
          <cell r="I21" t="str">
            <v xml:space="preserve"> ประกาศเชิญชวน 9-17 พ.ย.58 เสนอราคา e-bidding   20 พ.ย.58 </v>
          </cell>
          <cell r="M21" t="str">
            <v>   - ประกาศเชิญชวนในอินเตอร์เน็ต 9 - 19 พ.ย.58  เสนอราคา  23 พ.ย.58 ลงนามในสัญญาภายใน 30 พ.ย.58  </v>
          </cell>
        </row>
        <row r="22">
          <cell r="I22" t="str">
            <v xml:space="preserve"> ประกาศเชิญชวน 9-17 พ.ย.58 เสนอราคา e-bidding   20 พ.ย.58 </v>
          </cell>
          <cell r="M22" t="str">
            <v>   - ประกาศเชิญชวนในอินเตอร์เน็ต 9 - 19 พ.ย.58   เสนออราคา  23 พ.ย.58   ลงนามในสัญญาภายใน 30 พ.ย.58  </v>
          </cell>
        </row>
        <row r="23">
          <cell r="I23" t="str">
            <v xml:space="preserve"> ประกาศเชิญชวน 9-17 พ.ย.58 เสนอราคา e-bidding   20 พ.ย.58 </v>
          </cell>
          <cell r="M23" t="str">
            <v>   - ประกาศเชิญชวนในอินเตอร์เน็ต 9 - 19 พ.ย.58     เสนอราคา  23 พ.ย.58   ลงนามในสัญญาภายใน 30 พ.ย.58  </v>
          </cell>
        </row>
        <row r="27">
          <cell r="I27"/>
          <cell r="M27"/>
        </row>
        <row r="28">
          <cell r="I28" t="str">
            <v xml:space="preserve"> กำหนดประกาศเชิญชวน 8-16 ธ.ค.58  e-bidding 21 ธ.ค.58 </v>
          </cell>
          <cell r="M28" t="str">
            <v>ประกาศเชิญชวนในอินเตอร์เน็ต  8 - 16 ธ.ค.58  เสนอราคา  21 ธ.ค.58   ลงนามในสัญญาภายใน 30 ธ.ค.58 </v>
          </cell>
        </row>
        <row r="29">
          <cell r="I29" t="str">
            <v xml:space="preserve"> กำหนดประกาศเชิญชวน 8-16 ธ.ค.58  e-bidding 21 ธ.ค.58 </v>
          </cell>
          <cell r="M29" t="str">
            <v xml:space="preserve"> - ประกาศเชิญชวนในอินเตอร์เน็ต 8 - 16 ธ.ค.58 
- เสนอราคา  21 ธ.ค.58  
- ลงนามในสัญญาภายใน 30 ธ.ค.58</v>
          </cell>
        </row>
        <row r="30">
          <cell r="I30" t="str">
            <v xml:space="preserve"> กำหนดประกาศเชิญชวน 8-16 ธ.ค.58  e-bidding 21 ธ.ค.58 </v>
          </cell>
          <cell r="M30" t="str">
            <v xml:space="preserve"> - ประกาศเชิญชวนในอินเตอร์เน็ต 8 - 16 ธ.ค.58
- เสนอราคา  21 ธ.ค.58 
- ลงนามในสัญญาภายใน 30 ธ.ค.58</v>
          </cell>
        </row>
        <row r="31">
          <cell r="I31" t="str">
            <v xml:space="preserve"> กำหนดประกาศเชิญชวน 8-16 ธ.ค.58  e-bidding 21 ธ.ค.58 </v>
          </cell>
          <cell r="M31" t="str">
            <v xml:space="preserve"> - ประกาศเชิญชวนในอินเตอร์เน็ต 8 - 16 ธ.ค.58
- เสนอราคา  21 ธ.ค.58 
- ลงนามในสัญญาภายใน 30 ธ.ค.58</v>
          </cell>
        </row>
        <row r="32">
          <cell r="I32" t="str">
            <v xml:space="preserve"> กำหนดประกาศเชิญชวน 16-24 พ.ย.58  e-bidding 27 พ.ย.58 </v>
          </cell>
          <cell r="M32" t="str">
            <v xml:space="preserve"> - ประกาศเชิญชวนในอินเตอร์เน็ต 16 - 24 ธ.ค.58 
- เสนอราคา  27 พ.ย.58  
- ลงนามในสัญญาภายใน 15 ธ.ค.58</v>
          </cell>
        </row>
        <row r="33">
          <cell r="I33" t="str">
            <v xml:space="preserve"> กำหนดประกาศเชิญชวน 16-24 พ.ย.58  e-bidding 27 พ.ย.58 </v>
          </cell>
          <cell r="M33" t="str">
            <v xml:space="preserve"> - ประกาศเชิญชวนในอินเตอร์เน็ต 16 - 24 ธ.ค.58 
- เสนอราคา  27 พ.ย.58  
- ลงนามในสัญญาภายใน 15 ธ.ค.58</v>
          </cell>
        </row>
        <row r="34">
          <cell r="I34" t="str">
            <v xml:space="preserve"> กำหนดประกาศเชิญชวน 8-16 ธ.ค.58  e-bidding 21 ธ.ค.58 </v>
          </cell>
          <cell r="M34" t="str">
            <v xml:space="preserve"> - ประกาศเชิญชวนในอินเตอร์เน็ต 8 - 16 ธ.ค.58 
- เสนอราคา  21 ธ.ค.58
- ลงนามในสัญญาภายใน 30 ธ.ค.58</v>
          </cell>
        </row>
        <row r="35">
          <cell r="I35" t="str">
            <v xml:space="preserve"> กำหนดประกาศเชิญชวน 16-24 พ.ย.58  e-bidding 27 พ.ย.58 </v>
          </cell>
          <cell r="M35" t="str">
            <v xml:space="preserve"> ประกาศเชิญชวนในอินเตอร์เน็ต 19 - 26 ธ.ค.58  เสนอราคา  8 พ.ย.58      ลงนามในสัญญาภายใน 15 ธ.ค.58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ร.นรต."/>
    </sheetNames>
    <sheetDataSet>
      <sheetData sheetId="0">
        <row r="11">
          <cell r="I11" t="str">
            <v> อยู่ระหว่างจัดทำคุณลักษณะเฉพาะ สำหรับรายการที่มีการเปลี่ยนแปลงเพื่อให้ศูนย์ฯมีความทันสมัยเหมาะสมสำหรับการใช้งานมากยิ่งขี้น </v>
          </cell>
          <cell r="M11" t="str">
            <v> อยู่ระหว่างจัดหาฯ </v>
          </cell>
        </row>
        <row r="12">
          <cell r="I12" t="str">
            <v>   อยู่ระหว่างการจัดหา สามารถลงนามในสัญญาและเบิกจ่ายได้ภายในเดือน ธ.ค.2558   </v>
          </cell>
          <cell r="M12" t="str">
            <v> อยู่ระหว่างจัดหาฯ </v>
          </cell>
        </row>
        <row r="13">
          <cell r="I13" t="str">
            <v>อยู่ระหว่างจัดหา สามารถลงนามในสัญญาได้ภายใน พ.ย. 2558</v>
          </cell>
          <cell r="M13" t="str">
            <v> อยู่ระหว่างจัดหาฯ </v>
          </cell>
        </row>
        <row r="14">
          <cell r="I14" t="str">
            <v>อยู่ระหว่างจัดหา สามารถลงนามในสัญญาได้ภายใน พ.ย. 2558</v>
          </cell>
          <cell r="M14" t="str">
            <v> อยู่ระหว่างจัดหาฯ </v>
          </cell>
        </row>
        <row r="15">
          <cell r="I15" t="str">
            <v>อยู่ระหว่างจัดหา สามารถลงนามในสัญญาได้ภายใน พ.ย. 2558</v>
          </cell>
          <cell r="M15" t="str">
            <v> อยู่ระหว่างจัดหาฯ </v>
          </cell>
        </row>
        <row r="16">
          <cell r="I16" t="str">
            <v>อยู่ระหว่างจัดหา สามารถลงนามในสัญญาได้ภายใน พ.ย. 2558</v>
          </cell>
          <cell r="M16" t="str">
            <v> อยู่ระหว่างจัดหาฯ 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ตร."/>
    </sheetNames>
    <sheetDataSet>
      <sheetData sheetId="0">
        <row r="11">
          <cell r="I11" t="str">
            <v>อยู่ระหว่างปรับลดเหลือ 5 คัน (จากคันละ 99,500 บาท เป็น คันละ 149,800 บาท)</v>
          </cell>
          <cell r="M11" t="str">
            <v>อยู่ระหว่างปรับลดเหลือ 5 คัน (จากคันละ 99,500 บาท เป็น คันละ 149,800 บาท)</v>
          </cell>
        </row>
        <row r="12">
          <cell r="I12" t="str">
            <v>บริษัท วี เอส เอนจิเนียริ่ง จำกัด จะนำหลักประกันมาทำสัญญา    ในวันที่ 6 พ.ย.58</v>
          </cell>
          <cell r="M12" t="str">
            <v>ทำสัญญากับบริษัท วี เอส เอนจิเนียริ่ง จำกัด วงเงิน 120,000 บาท อยู่ระหว่างบันทึก  PO ในระบบ GFMIS</v>
          </cell>
        </row>
        <row r="13">
          <cell r="I13" t="str">
            <v>บริษัท วี เอส เอนจิเนียริ่ง จำกัด จะนำหลักประกันมาทำสัญญา    ในวันที่ 6 พ.ย.58</v>
          </cell>
          <cell r="M13" t="str">
            <v xml:space="preserve">ทำสัญญากับบริษัท วี เอส เอนจิเนียริ่ง จำกัด วงเงิน 55,000 บาท อยู่ระหว่างบันทึก PO ในระบบ GFMIS
</v>
          </cell>
        </row>
        <row r="14">
          <cell r="I14" t="str">
            <v xml:space="preserve"> อยู่ระหว่างปรับลดจำนวนเหลือจำนวน  2 เครื่อง ( จากเครื่องละ 15,000 บาท เป็นเครืองละ 22,500 บาท) </v>
          </cell>
          <cell r="M14" t="str">
            <v xml:space="preserve"> อยู่ระหว่างปรับลดจำนวนเหลือจำนวน  2 เครื่อง ( จากเครื่องละ 15,000 บาท เป็นเครืองละ 22,500 บาท) </v>
          </cell>
        </row>
        <row r="15">
          <cell r="I15" t="str">
            <v>บริษัท วี เอส เอนจิเนียริ่ง จำกัด จะนำหลักประกันมาทำสัญญา    ในวันที่ 6 พ.ย.58</v>
          </cell>
          <cell r="M15" t="str">
            <v>ทำสัญญากับบริษัท วี เอส เอนจิเนียริ่ง จำกัด วงเงิน 8,500 บาท อยู่ระหว่างบันทึก PO ในระบบ GFMIS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ยศ.ตร."/>
      <sheetName val="Sheet1"/>
    </sheetNames>
    <sheetDataSet>
      <sheetData sheetId="0">
        <row r="11">
          <cell r="I11" t="str">
            <v xml:space="preserve">- เปิดซองสอบราคาเมื่อ  6 ต.ค.58            - ประกาศผลเมื่อ  9 ต.ค.58                    - มีผู้ยื่นอุธรณ์เมื่อ  14 ต.ค.58 </v>
          </cell>
          <cell r="M11" t="str">
            <v xml:space="preserve"> - รอลงนามในสัญญาภายในวันที่ 30 พ.ย.58 </v>
          </cell>
        </row>
        <row r="12">
          <cell r="I12"/>
          <cell r="M12" t="str">
            <v xml:space="preserve">-รอลงนามในสัญญาภายในวันที่ 30 พ.ย.58 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/>
          <cell r="M11" t="str">
            <v>  - 1 ธ.ค.58 ผบก.อก.สกบ.ให้ความเห็นชอบ
 - 1 - 14 ธ.ค.58 ประกาศสอบราคา
 - 16 ธ.ค.58 เปิดซองเสนอราคา
 - สามารถผูกพันสัญญาได้ภายใน 25 ธ.ค.58
 </v>
          </cell>
        </row>
        <row r="12">
          <cell r="I12"/>
          <cell r="M12" t="str">
            <v xml:space="preserve"> - 25 พ.ย.58 ผบก.อก.สกบ.ให้ความเห็นชอบ
 - 25พ.ย.- 8ธ.ค.58 ประกาศสอบราคา
 - 9 ธ.ค.58 เปิดซองสอบราคา
 - สามารถผูกพันสัญญาได้ภายใน 21 ธ.ค.58</v>
          </cell>
        </row>
        <row r="13">
          <cell r="I13"/>
          <cell r="M13" t="str">
            <v xml:space="preserve"> - 30 พ.ย.58 เสนอขอรับความเห็นชอบ
 - สามารถผูกพันสัญญาได้ภายใน 25 ธ.ค.58</v>
          </cell>
        </row>
        <row r="14">
          <cell r="I14"/>
          <cell r="M14" t="str">
            <v xml:space="preserve">  - 30 พ.ย.58 เสนอ ผบก.ยธ. ขอรับความเห็นชอบ 
 - สามารถผูกพันสัญญาได้ภายใน 25 ธ.ค.58</v>
          </cell>
        </row>
        <row r="15">
          <cell r="I15"/>
          <cell r="M15" t="str">
            <v xml:space="preserve"> - สามารถลงนามใบสั่งซื้อได้ภายใน 25 ธ.ค.58</v>
          </cell>
        </row>
        <row r="16">
          <cell r="I16"/>
          <cell r="M16" t="str">
            <v xml:space="preserve"> - สามารถลงนามใบสั่งซื้อได้ภายใน 9 ธ.ค.58</v>
          </cell>
        </row>
        <row r="17">
          <cell r="I17"/>
          <cell r="M17" t="str">
            <v xml:space="preserve"> - สามารถผูกพันสัญญาได้ภายใน  9 ธ.ค.58</v>
          </cell>
        </row>
        <row r="18">
          <cell r="M18" t="str">
            <v xml:space="preserve"> -  24 พ.ย. 58 ผบก.สพ. เห็นชอบสอบราคา
 - 25 พ.ย. - 4 ธ.ค.58  ยื่นซอง
 - 9 ธ.ค.58 เปิดซองสอบราคา
 - 15 ธ.ค.58  คกก.รายงาน
 - 18 ธ.ค.58  ขออนุมัติซื้อ
 - 21 - 28 ธ.ค.58  ลงนามสัญญา </v>
          </cell>
        </row>
        <row r="19">
          <cell r="I19"/>
          <cell r="M19" t="str">
            <v xml:space="preserve"> - รอดำเนินการจัดหารวมกับรายการโครงการอาวุธปืน 55,000 กระบอก ที่นำเข้า ครม.</v>
          </cell>
        </row>
        <row r="20">
          <cell r="I20"/>
          <cell r="M20" t="str">
            <v>งบผูกพัน ปี 58
- 27 พ.ย.58 ผบ.ตร.อนุมัติให้ยกเลิกการจัดซื้อโครงการจัดหาอากาศยานช่วยเหลือทางการแพทย์เพื่อเพิ่มประสิทธิภาพด้านความปลอดภัยนักท่องเที่ยว ครั้งที่ 1 และให้ความเห็นชอบดำเนินการจัดซื้อโดยวิธีพิเศษ อยู่ระหว่างประธาน คกก.นัดประชุมพิจารณาผล</v>
          </cell>
        </row>
        <row r="21">
          <cell r="I21"/>
          <cell r="M21"/>
        </row>
        <row r="22">
          <cell r="I22"/>
          <cell r="M22" t="str">
            <v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v>
          </cell>
        </row>
        <row r="23">
          <cell r="I23"/>
          <cell r="M23" t="str">
            <v xml:space="preserve"> - 9 พ.ย. 58  เสนอ ผบช.สกบ. ให้ความเห็นชอบจัดซื้อโดยวิธีพิเศษ   รอง ผบช.สกบ.(2)  ให้ชี้แจงรายละเอียดเพิ่มเติม
 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- 21 - 29  ธ.ค. 58  ลงนามสัญญา</v>
          </cell>
        </row>
        <row r="24">
          <cell r="I24"/>
          <cell r="M24" t="str">
            <v xml:space="preserve">  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เสนอขออนุมัติซื้อ
 - 18  ธ.ค. 58  ผบช.สกบ. อนุมัติซื้อ
  - 19 -  30 ธ.ค. 58  ลงนามสัญญา</v>
          </cell>
        </row>
        <row r="25">
          <cell r="I25"/>
          <cell r="M25" t="str">
            <v>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 - 21 -  30  ธ.ค. 58  ลงนามสัญญา</v>
          </cell>
        </row>
        <row r="26">
          <cell r="I26"/>
          <cell r="M26" t="str">
            <v xml:space="preserve">  - 6 พ.ย. 58  ผบก.สพ.  เป็นชอบจัดซื้อโดยวิธีพิเศษ
  - 11 พ.ย. 58  แจ้ง คกก. ดำเนินการ
 - 19 พ.ย. 58 คกก.  รายงานผลการดำเนินงาน
 - 26  พ.ย.58   เสนอขออนุมัติซื้อ
 - 28 พย. - 9 ธ.ค. 58  ลงนามสัญญา
</v>
          </cell>
        </row>
        <row r="27">
          <cell r="I27"/>
          <cell r="M27" t="str">
            <v xml:space="preserve">  - 16 พ.ย.58  ผบก.สพ. เห็นชอบให้จัดซื้อโดยวิธีพิเศษ
 - 19 พ.ย.58  แจ้ง คกก.จัดซื้อ ฯ ดำเนินการตามระเบียบฯ
- 30 พ.ย. 58  ขออนุมัติซื้อ
- 3  -  16  ธ.ค. 58  ลงนามสัญญา</v>
          </cell>
        </row>
        <row r="28">
          <cell r="I28"/>
          <cell r="M28" t="str">
            <v xml:space="preserve">   - 26 พ.ย. 58  ผบก.สพ. เห็นชอบซื้อโดยตกลงราคา
- 27 ธ.ค.-16 ธ.ค.58    ให้ผู้ขายเสนอราคา
- 17 ธ.ค.58 ตรวจเอกสารและเงื่อนไขของผู้เสนอราคา
- 18 ธ.ค.58 ขออนุมัติซื้อ
- 21 - 30 ธ.ค.58 ลงนามสัญญา</v>
          </cell>
        </row>
        <row r="29">
          <cell r="I29"/>
          <cell r="M29" t="str">
            <v xml:space="preserve">  - 26 พ.ย. 58  เสนอขอรับเห็นชอบซื้อโดยวิธีพิเศษ
  - 26 พ.ย.58  แจ้ง คกก.
 - 8 ธ.ค. 58  คกก.รายงานผลการจัดซื้อ
 - 9  ธ.ค. 58  ขออนุมัติซื้อ
 - 14 - 22  ธ.ค. 58 ลงนามสัญญา</v>
          </cell>
        </row>
        <row r="30">
          <cell r="I30"/>
          <cell r="M30" t="str">
            <v xml:space="preserve">   - 25 พ.ย. 58  ผบก.สพ. เห็นชอบซื้อโดยตกลงราคา
 -  26 พ.ย.- 15 ธ.ค.58   ให้ผู้ขายเสนอราคา
 -  16 ธ.ค.58   ตรวจเอกสารและเงื่อนไขของผู้เสนอราคา
  - 17 ธ.ค.58 ขออนุมัติซื้อ
  - 18 - 30 ธ.ค. 58 ลงนามสัญญา</v>
          </cell>
        </row>
        <row r="31">
          <cell r="I31"/>
          <cell r="M31" t="str">
            <v>- 26 พ.ย. 58  ผบก.สพ. เห็นชอบซื้อโดยตกลงราคา
- 27 พ.ย. - 16 ธ.ค.58 ให้ผู้ขายเสนอราคา
- 17  ธ.ค.58 ตรวจเอกสารและเงื่อนไขของผู้เสนอราคา
- 18 ธ.ค.58   ขออนุมัติซื้อ
- 21 - 30  ธ.ค.58    ลงนามสัญญา </v>
          </cell>
        </row>
        <row r="32">
          <cell r="I32"/>
          <cell r="M32" t="str">
            <v>- 26 พ.ย. 58  ผบก.สพ. เห็นชอบซื้อโดยตกลงราคา
- 26 พ.ย. - 16 ธ.ค.58  ให้ผู้ขายเสนอราคา
-  17  ธ.ค.58 ตรวจเอกสารและเงื่อนไขของผู้เสนอราคา
- 18 ธ.ค.58 ขออนุมัติซื้อ
- 21 - 30  ธ.ค.58 ลงนามสัญญา</v>
          </cell>
        </row>
        <row r="33">
          <cell r="I33"/>
          <cell r="M33" t="str">
            <v>- 24 พ.ย. 58  เสนอขอรับเห็นชอบซื้อโดยวิธีพิเศษ
- 26 พ.ย.58  แจ้ง คกก.
- 9 ธ.ค. 58  คกก.รายงานผล
- 11  ธ.ค. 58 ขออนุมัติซื้อ
- 14 - 22  ธ.ค. 58  ลงนามสัญญา</v>
          </cell>
        </row>
        <row r="34">
          <cell r="I34"/>
          <cell r="M34" t="str">
            <v>- 26 พ.ย. 58  เสนอขอรับเห็นชอบซื้อโดยตกลงราคา
- 27 พ.ย.-16 ธ.ค.58 ให้ผู้ขายเสนอราคา
- 17 ธ.ค.58  ตรวจเอกสารและเงื่อนไขของผู้เสนอราคา
- 18 ธ.ค.58  ขออนุมัติซื้อ
- 21 - 30 ธ.ค.58 ลงนามสัญญา</v>
          </cell>
        </row>
        <row r="35">
          <cell r="I35"/>
          <cell r="M35" t="str">
            <v>- 24 พ.ย. 58  เสนอขอรับเห็นชอบซื้อโดยตกลงราคา
- 25 พ.ย.-14 ธ.ค.58      ให้ผู้ขายเสนอราคา
- 15 ธ.ค.58  ตรวจเอกสารและเงื่อนไขของผู้เสนอราคา
- 17 ธ.ค.58 ขออนุมัติซื้อ
- 21 - 30 ธ.ค.58      ลงนามสัญญา
  </v>
          </cell>
        </row>
        <row r="36">
          <cell r="I36"/>
          <cell r="M36" t="str">
            <v>- 24 พ.ย. 58  เสนอขอรับเห็นชอบซื้อโดยตกลงราคา
- 25 พ.ย.-14 ธ.ค.58 ให้ผู้ขายเสนอราคา
- 15 ธ.ค.58  ตรวจเอกสารและเงื่อนไขของผู้เสนอราคา
- 17 ธ.ค.58 ขออนุมัติซื้อ
- 18 - 30 ธ.ค.58  ลงนามสัญญา</v>
          </cell>
        </row>
        <row r="37">
          <cell r="I37"/>
          <cell r="M37" t="str">
            <v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ลงนามสัญญา</v>
          </cell>
        </row>
        <row r="38">
          <cell r="I38"/>
          <cell r="M38" t="str">
            <v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 ลงนามสัญญา</v>
          </cell>
        </row>
        <row r="39">
          <cell r="I39"/>
          <cell r="M39" t="str">
            <v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v>
          </cell>
        </row>
        <row r="40">
          <cell r="I40" t="str">
            <v xml:space="preserve">    อยู่ระหว่างดำเนินการขออนุมัติ ตร.  ให้ สกบ. เป็นหน่วยจัดหาและแจกจ่าย</v>
          </cell>
          <cell r="M40" t="str">
            <v xml:space="preserve"> - ตร. อนุมัติ ลง 10 พ.ย.58 ให้ สกบ.เป็นหน่วยจัดหาและแจกจ่าย                           - สยศ.ตร. โอนงบประมาณให้ สกบ. เมื่อ 16 พ.ย.58   และมีหนังสือแจ้ง สกบ.ทราบ เมื่อ 19 พ.ย.58</v>
          </cell>
        </row>
        <row r="41">
          <cell r="I41" t="str">
            <v> 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</v>
          </cell>
          <cell r="M41" t="str">
            <v>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และได้โอนเงินงบประมาณแล้วเมื่อวันที่ 9 พ.ย.58</v>
          </cell>
        </row>
        <row r="42">
          <cell r="I42"/>
          <cell r="M42"/>
        </row>
        <row r="46">
          <cell r="I46"/>
          <cell r="M46" t="str">
            <v xml:space="preserve"> - สามารถผูกพันสัญญาได้ภายใน  ธ.ค.58</v>
          </cell>
        </row>
        <row r="47">
          <cell r="I47"/>
          <cell r="M47" t="str">
            <v xml:space="preserve"> - สามารถผูกพันสัญญาได้ภายใน 29 ธ.ค.58</v>
          </cell>
        </row>
        <row r="48">
          <cell r="I48"/>
          <cell r="M48" t="str">
            <v xml:space="preserve"> - สามารถผูกพันสัญญาได้ภายใน 29 ธ.ค.58</v>
          </cell>
        </row>
        <row r="50">
          <cell r="I50"/>
          <cell r="M50" t="str">
            <v xml:space="preserve"> - 30 พ.ย.58 เสนอแต่งตั้ง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มี.ค.59</v>
          </cell>
        </row>
        <row r="51">
          <cell r="I51"/>
          <cell r="M51" t="str">
            <v xml:space="preserve"> - 4 ธ.ค.58 จัดทำรูปแบบรายการเสร็จ
- 7 ธ.ค.58 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ก.พ.59</v>
          </cell>
        </row>
        <row r="52">
          <cell r="I52"/>
          <cell r="M52" t="str">
            <v xml:space="preserve"> - 4 ธ.ค.58 คกก.รายงานผลการกำหนดราคากลาง
- กระบวนการจัดจ้างใช้เวลาในการดำเนินการประมาณ 60 วัน
- สามารถผูกพันสัญญาได้ภายใน มี.ค.59</v>
          </cell>
        </row>
        <row r="53">
          <cell r="I53"/>
          <cell r="M53"/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กพ."/>
    </sheetNames>
    <sheetDataSet>
      <sheetData sheetId="0">
        <row r="14">
          <cell r="I14" t="str">
            <v>ได้บริษัทผู้รับจ้างแล้ว  
จะลงนามสัญญาในวันที่ 9 พ.ย.58</v>
          </cell>
          <cell r="M14" t="str">
            <v>  ลงนามในสัญญาจ้างกับบริษัท นนท์มหานคร จำกัด เลขที่ 5/2559 ลง 13 พ.ย.58 เป็นเงินจำนวน 679,000 บาท  
ครบกำหนดส่งมอบงาน 28 ธ.ค.58 </v>
          </cell>
        </row>
        <row r="15">
          <cell r="I15" t="str">
            <v>อยู่ระหว่างรอรูปแบบรายการจาก ยธ.</v>
          </cell>
          <cell r="M15" t="str">
            <v>อยู่ระหว่างคณะกรรมการกำหนดราคากลาง</v>
          </cell>
        </row>
        <row r="16">
          <cell r="I16" t="str">
            <v>อยู่ระหว่างแต่งตั้งคณะกรรมการกำหนดราคากลาง</v>
          </cell>
          <cell r="M16" t="str">
            <v xml:space="preserve"> อยู่ระหว่างขอรับความเห็นชอบในการประกวดราคา โดยวิธีประกวดราคาอิเล็กทรอนิกส์ (Electronic Bidding : e – bidding) 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งป.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มค."/>
    </sheetNames>
    <sheetDataSet>
      <sheetData sheetId="0">
        <row r="11">
          <cell r="I11" t="str">
            <v xml:space="preserve">  กม. ขอรับความเห็นชอบ จาก ผบก. </v>
          </cell>
          <cell r="M11" t="str">
            <v> กม. ขออนุมัติจัดซื้อจาก ผบก.  </v>
          </cell>
        </row>
        <row r="12">
          <cell r="I12" t="str">
            <v>อฎ. ส่งของแล้ว </v>
          </cell>
          <cell r="M12" t="str">
            <v> อฎ. รอเบิกจ่าย เนื่องจากรอรหัสกิจกรรมย่อย (ก.การใช้เทคโนโลยี)   </v>
          </cell>
        </row>
        <row r="13">
          <cell r="I13" t="str">
            <v>สบส. ลงนามอนุมัติจัดซื้อ วันที่ 7 พ.ย.58 ส่งมอบของภายใน 60 วัน</v>
          </cell>
          <cell r="M13" t="str">
            <v>สบส. ลงนามอนุมัติจัดซื้อ วันที่ 7 พ.ย.58 ส่งมอบของภายใน 60 วัน</v>
          </cell>
        </row>
        <row r="14">
          <cell r="I14" t="str">
            <v>  1. กม. ขอรับความเห็นชอบ จาก ผบก.    2. คพ. ผบก. ลงนามอนุมัติจัดซื้อ วันที่ 5 พ.ย.58                                          3. อฎ. ส่งมอบของแล้ว   </v>
          </cell>
          <cell r="M14" t="str">
            <v>1. กม. ขออนุมัติจัดซื้อ จาก ผบก. 
2. คพ.  ส่งมอบของแล้ว อยู่ระหว่างทำ PO  
3. อฎ.  รอเบิกจ่าย เนื่องจากรอรหัสกิจกรรมย่อย (ก.การใช้เทคโนโลยี)               </v>
          </cell>
        </row>
        <row r="15">
          <cell r="I15" t="str">
            <v>ขอรับความเห็นชอบ จาก ผบก. (คด.)</v>
          </cell>
          <cell r="M15" t="str">
            <v>คด. ส่งของเรียบร้อยแล้ว อยู่ระหว่าง      การเบิกจ่าย เนื่องจากรอหรัสกิจกรรมย่อย   (ก. การใช้เทคโนโลยี)</v>
          </cell>
        </row>
        <row r="16">
          <cell r="I16" t="str">
            <v>สบส. ลงนามทำสัญญาแล้ว วันที่ 30 ต.ค.58 ส่งของวันที่ 30 พ.ย.58</v>
          </cell>
          <cell r="M16" t="str">
            <v>สบส. ลงนามทำสัญญาแล้ว วันที่ 30 ต.ค.58 ส่งของวันที่ 30 พ.ย.58</v>
          </cell>
        </row>
        <row r="17">
          <cell r="I17" t="str">
            <v> อฎ. ส่งมอบของแล้ว  </v>
          </cell>
          <cell r="M17" t="str">
            <v>อฎ.  รอเบิกจ่าย เนื่องจากรอรหัสกิจกรรมย่อย (ก.การใช้เทคโนโลยี)         </v>
          </cell>
        </row>
        <row r="21">
          <cell r="I21" t="str">
            <v xml:space="preserve">สบส. อยู่ระหว่างร่างประกาศประกวดราคา </v>
          </cell>
          <cell r="M21" t="str">
            <v>  สบส. อยู่ระหว่างการขอเปลี่ยนแปลงรูปแบบสนามฟุตบอลฯ ต่อสำนักงบประมาณ  </v>
          </cell>
        </row>
        <row r="22">
          <cell r="I22" t="str">
            <v xml:space="preserve"> สบส. ลง ประกาศวันที่ 23 พ.ย.58 </v>
          </cell>
          <cell r="M22" t="str">
            <v>    สบส. ประกาศในระบบ E-bidding อยู่ระหว่างขอรับแบบ    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ง.ก.ตร.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>อยู่ระหว่างดำเนินการ</v>
          </cell>
          <cell r="M11" t="str">
            <v>อยู่ระหว่างดำเนินการ ในระบบ GFMIS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> อยู่ระหว่างประกาศร่าง TOR ครั้งที่ 1
สิ้นสุดวันที่ 5 พ.ย.58 </v>
          </cell>
          <cell r="M11" t="str">
            <v>  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    </cell>
        </row>
        <row r="12">
          <cell r="I12" t="str">
            <v> อยู่ระหว่างประกาศร่าง TOR ครั้งที่ 1
สิ้นสุดวันที่ 5 พ.ย.58 </v>
          </cell>
          <cell r="M12" t="str">
            <v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    </cell>
        </row>
        <row r="13">
          <cell r="I13" t="str">
            <v> อยู่ระหว่างประกาศร่าง TOR ครั้งที่ 1
สิ้นสุดวันที่ 5 พ.ย.58 </v>
          </cell>
          <cell r="M13" t="str">
            <v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    </cell>
        </row>
        <row r="14">
          <cell r="I14" t="str">
            <v>ตกลงราคาเรียบร้อยแล้วพร้อมส่งมอบของ
ภายในเดือน ธ.ค. สามารถเบิกจ่ายเงินได้</v>
          </cell>
          <cell r="M14" t="str">
            <v>  ทำสัญญาซื้อ-ขาย เมื่อวันที่ 19 พ.ย.58           กำหนดส่งมอบ 19 ธ.ค.58  </v>
          </cell>
        </row>
        <row r="15">
          <cell r="I15" t="str">
            <v>ตกลงราคาเรียบร้อยแล้วพร้อมส่งมอบของ
ภายในเดือน ธ.ค. สามารถเบิกจ่ายเงินได้</v>
          </cell>
          <cell r="M15" t="str">
            <v>ทำสัญญาซื้อ-ขาย เมื่อวันที่ 19 พ.ย.58           กำหนดส่งมอบ 19 ธ.ค.58  </v>
          </cell>
        </row>
        <row r="16">
          <cell r="I16" t="str">
            <v>ตกลงราคาเรียบร้อยแล้วพร้อมส่งมอบของ
ภายในเดือน ธ.ค. สามารถเบิกจ่ายเงินได้</v>
          </cell>
          <cell r="M16" t="str">
            <v>ทำสัญญาซื้อ-ขาย เมื่อวันที่ 19 พ.ย.58           กำหนดส่งมอบ 19 ธ.ค.58  </v>
          </cell>
        </row>
        <row r="17">
          <cell r="I17" t="str">
            <v>ตกลงราคาเรียบร้อยแล้วพร้อมส่งมอบของ
ภายในเดือน ธ.ค. สามารถเบิกจ่ายเงินได้</v>
          </cell>
          <cell r="M17" t="str">
            <v>ทำสัญญาซื้อ-ขาย เมื่อวันที่ 19 พ.ย.58           กำหนดส่งมอบ 19 ธ.ค.58  </v>
          </cell>
        </row>
        <row r="18">
          <cell r="I18" t="str">
            <v>ตกลงราคาเรียบร้อยแล้วพร้อมส่งมอบของ
ภายในเดือน ธ.ค. สามารถเบิกจ่ายเงินได้</v>
          </cell>
          <cell r="M18" t="str">
            <v>ทำสัญญาซื้อ-ขาย เมื่อวันที่ 19 พ.ย.58           กำหนดส่งมอบ 19 ธ.ค.58  </v>
          </cell>
        </row>
        <row r="19">
          <cell r="I19"/>
          <cell r="M19"/>
        </row>
        <row r="20">
          <cell r="I20"/>
          <cell r="M20"/>
        </row>
        <row r="21">
          <cell r="I21"/>
          <cell r="M21"/>
        </row>
        <row r="25">
          <cell r="I25" t="str">
            <v>ถอนเรื่องคืน กรณีขอเปลียนแปลงสถานที่ก่อสร้าง จาก สภ.มาบตาพุด ไปก่อสร้างที่ สภ.เขาชะเมา ( หลังที่ 2 )</v>
          </cell>
          <cell r="M25" t="str">
            <v>ออกประกาศประกวดราคา 23 - 30 พ.ย.58 เสนอราคา วันที่ 4 ธ.ค.58 สามารถลงนามในสัญญาได้ ภายใน 25 ธ.ค.58</v>
          </cell>
        </row>
        <row r="26">
          <cell r="I26" t="str">
            <v>อยู่ระหว่างกำหนดราคากลาง</v>
          </cell>
          <cell r="M26" t="str">
            <v>ได้ดำเนินการแต่งตั้งคณะกรรมการกำหนดราคาได้ราคากลางเสร็จสิ้นเรียบร้อยแล้ว อยู่ระหว่างขออนุมัติแต่งตั้งคณะกรรมการร่าง TOR และร่างเอกสารประกวดราคา/คณะกรรมการประกวดราคาและผู้ควบคุมงานการจ้าง</v>
          </cell>
        </row>
        <row r="27">
          <cell r="I27"/>
          <cell r="M27"/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/>
          <cell r="M11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2">
          <cell r="I12"/>
          <cell r="M12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3">
          <cell r="I13"/>
          <cell r="M13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4">
          <cell r="I14"/>
          <cell r="M14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5">
          <cell r="I15"/>
          <cell r="M15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6">
          <cell r="I16"/>
          <cell r="M16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7">
          <cell r="I17"/>
          <cell r="M17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8">
          <cell r="I18"/>
          <cell r="M18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9">
          <cell r="I19"/>
          <cell r="M19" t="str">
            <v>ลงนามในสัญญาแล้ว เลขที่ 5/2559 ลง 17 พ.ย.2558 ครบกำหนดวันที่ 17 ธ.ค.2558 อยู่ระหว่างทำ Po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>อยู่ระหว่างประกาศสอบราคา</v>
          </cell>
          <cell r="M11" t="str">
            <v>อยู่ระหว่างประกาศสอบราคา</v>
          </cell>
        </row>
        <row r="12">
          <cell r="I12" t="str">
            <v>ขออนุมัติ</v>
          </cell>
          <cell r="M12" t="str">
            <v>รอลงนาม</v>
          </cell>
        </row>
        <row r="13">
          <cell r="I13" t="str">
            <v> ขออนุมัติ </v>
          </cell>
          <cell r="M13" t="str">
            <v>รอลงนาม</v>
          </cell>
        </row>
        <row r="14">
          <cell r="I14" t="str">
            <v>ขออนุมัติ</v>
          </cell>
          <cell r="M14" t="str">
            <v>รอลงนาม</v>
          </cell>
        </row>
        <row r="15">
          <cell r="I15" t="str">
            <v>ขออนุมัติ</v>
          </cell>
          <cell r="M15" t="str">
            <v>รอลงนาม</v>
          </cell>
        </row>
        <row r="16">
          <cell r="I16" t="str">
            <v>ขออนุมัติ</v>
          </cell>
          <cell r="M16" t="str">
            <v>รอลงนาม</v>
          </cell>
        </row>
        <row r="17">
          <cell r="I17" t="str">
            <v> อยู่ในระหว่างคณะกรรมการกำหนดคุณลักษณะเฉพาะ </v>
          </cell>
          <cell r="M17" t="str">
            <v> อยู่ในระหว่างคณะกรรมการกำหนดคุณลักษณะเฉพาะ 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.ตร."/>
    </sheetNames>
    <sheetDataSet>
      <sheetData sheetId="0">
        <row r="11">
          <cell r="I11" t="str">
            <v>อยู่ระหว่างกำหนดราคากลาง</v>
          </cell>
          <cell r="M11" t="str">
            <v>รอราคากลาง จากคณะกรรมการกำหนดราคากลางฯ</v>
          </cell>
        </row>
        <row r="12">
          <cell r="I12" t="str">
            <v>อยู่ระหว่างลงนามในสัญญา</v>
          </cell>
          <cell r="M12" t="str">
            <v> อยู่ระหว่างขออนุมัติเบิกจ่ายเงิน</v>
          </cell>
        </row>
        <row r="13">
          <cell r="I13" t="str">
            <v>อยู่ระหว่างลงนามในสัญญา</v>
          </cell>
          <cell r="M13" t="str">
            <v>อยู่ระหว่างขออนุมัติเบิกจ่ายเงิน</v>
          </cell>
        </row>
        <row r="14">
          <cell r="I14" t="str">
            <v>  อยู่ระหว่างดำเนินการเสนอ กวพ. ยกเว้นวิธีการจัดหา  </v>
          </cell>
          <cell r="M14" t="str">
            <v>  อยู่ระหว่างดำเนินการเสนอ กวพ. ยกเว้นวิธีการจัดหา  </v>
          </cell>
        </row>
        <row r="15">
          <cell r="I15" t="str">
            <v>แจ้งผู้ขายมาลงนามในสัญญา</v>
          </cell>
          <cell r="M15" t="str">
            <v>อยู่ระหว่างตรวจรับ</v>
          </cell>
        </row>
        <row r="16">
          <cell r="I16" t="str">
            <v>แจ้งผู้ขายมาลงนามในสัญญา</v>
          </cell>
          <cell r="M16" t="str">
            <v>อยู่ระหว่างตรวจรับ</v>
          </cell>
        </row>
        <row r="17">
          <cell r="I17" t="str">
            <v>อยู่ระหว่างปรับปรุง TOR ตามที่มีผู้วิจารณ์</v>
          </cell>
          <cell r="M17" t="str">
            <v>มีข้อเสนอแนะในการลงประกาศร่างฯ จึงกลับไปให้คณะกรรมการกำหนดคุณลักษณะเฉพาะฯ พิจารณาข้อเสนอแนะ ดังกล่าว</v>
          </cell>
        </row>
        <row r="18">
          <cell r="I18" t="str">
            <v>มีผู้เสนอราคารายเดียว/อยู่ระหว่างดำเนินการใหม่ เสนอราคาวันที่ 13 พ.ย.58</v>
          </cell>
          <cell r="M18" t="str">
            <v>อยู่ระหว่างรอผล คณะกรรมการพิจารณาผลฯ ส่งรายงาน</v>
          </cell>
        </row>
        <row r="19">
          <cell r="I19" t="str">
            <v>แจ้งผู้ขายมาลงนามในสัญญา</v>
          </cell>
          <cell r="M19" t="str">
            <v>อยู่ระหว่างตรวจรับ</v>
          </cell>
        </row>
        <row r="20">
          <cell r="I20" t="str">
            <v>อยู่ระหว่างดำเนินการเสนอ กวพ.ยกเว้นวิธีการจัดหา</v>
          </cell>
          <cell r="M20" t="str">
            <v>อยู่ระหว่างคณะกรรมการพิจารณาผลการเสนอราคา</v>
          </cell>
        </row>
        <row r="24">
          <cell r="I24" t="str">
            <v>อยู่ระหว่างประกาศ</v>
          </cell>
          <cell r="M24" t="str">
            <v>อยู่ระหว่างคณะกรรมการพิจารณาผลการเสนอราคา</v>
          </cell>
        </row>
        <row r="25">
          <cell r="I25" t="str">
            <v>อยู่ระหว่างประกาศ</v>
          </cell>
          <cell r="M25" t="str">
            <v>อยู่ระหว่างเสนอราคาในวันที่ 30 พ.ย. 58</v>
          </cell>
        </row>
        <row r="26">
          <cell r="I26" t="str">
            <v>อยู่ระหว่างขอให้ ยธ.ปรับแบบ ให้อยู่ในวงเงินงบประมาณ</v>
          </cell>
          <cell r="M26" t="str">
            <v>อยู่ระหว่างกำหนดราคากลาง</v>
          </cell>
        </row>
        <row r="27">
          <cell r="I27" t="str">
            <v>อยู่ระหว่างประกาศฯ กำหนดเสนอราคาวันที่ 16 พ.ย.58</v>
          </cell>
          <cell r="M27" t="str">
            <v> เสนอขออนุมัติดำเนินการ 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น.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จต."/>
      <sheetName val="รร.นรต."/>
      <sheetName val="บช.ศ."/>
      <sheetName val="บช.น."/>
      <sheetName val="บช.ก."/>
      <sheetName val="บช.ส."/>
      <sheetName val="สตม."/>
      <sheetName val="บช.ตชด."/>
      <sheetName val="สพฐ.ตร."/>
      <sheetName val="สทส."/>
      <sheetName val="รพ.ตร."/>
      <sheetName val="บ.ตร."/>
      <sheetName val="สกบ."/>
      <sheetName val="สกบ. (ตร.)"/>
      <sheetName val="ปส."/>
      <sheetName val="สท."/>
      <sheetName val="สกพ."/>
      <sheetName val="สลก.ตร."/>
      <sheetName val="งป."/>
      <sheetName val="สง.ก.ตร."/>
      <sheetName val="กง."/>
      <sheetName val="สยศ.ตร."/>
      <sheetName val="ตท."/>
      <sheetName val="สตส."/>
      <sheetName val="วน."/>
      <sheetName val="นรป."/>
      <sheetName val="กมค.(สบส.)"/>
      <sheetName val="สงป."/>
      <sheetName val="Sheet17"/>
      <sheetName val="งบลงทุน52(เรียงตามภ.)"/>
      <sheetName val="ตาราง"/>
      <sheetName val="Sheet2"/>
      <sheetName val="เปรียบเทียบ"/>
      <sheetName val="ยอดปัจจุบัน"/>
      <sheetName val="Sheet1"/>
      <sheetName val="สรุปภาพรวม"/>
      <sheetName val="ความคืบหน้า"/>
      <sheetName val="%ตามGF"/>
      <sheetName val="Sheet3"/>
      <sheetName val="ตามหน่วย(ข้อมูลประชุม)"/>
      <sheetName val="เปอร์เซ็นต์ตามหน่วย(ข้อมูลประชุ"/>
      <sheetName val="Sheet5"/>
      <sheetName val="บริหารตร."/>
      <sheetName val="Sheet7"/>
      <sheetName val="สรุปหน่วยที่ต้องเร่งรัด"/>
      <sheetName val="Sheet4"/>
      <sheetName val="ลงทุน"/>
      <sheetName val="Sheet8"/>
      <sheetName val="Sheet9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44">
          <cell r="D44">
            <v>5626016358.96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ปส."/>
      <sheetName val="บช.ส."/>
      <sheetName val="สตม."/>
      <sheetName val="บช.ตชด."/>
      <sheetName val="นรป."/>
      <sheetName val="สพฐ.ตร."/>
      <sheetName val="สทส."/>
      <sheetName val="บช.ศ."/>
      <sheetName val="รร.นรต."/>
      <sheetName val="รพ.ตร."/>
      <sheetName val="สกบ. (ตร.)"/>
      <sheetName val="สตส."/>
      <sheetName val="จต."/>
      <sheetName val="สง.ก.ตร."/>
      <sheetName val="กมค."/>
      <sheetName val="สงป."/>
      <sheetName val="สกพ."/>
      <sheetName val="สกบ."/>
      <sheetName val="สยศ.ตร."/>
      <sheetName val="วน."/>
      <sheetName val="บ.ตร."/>
      <sheetName val="สง.ก.ต.ช."/>
      <sheetName val="สท."/>
      <sheetName val="ตท."/>
      <sheetName val="สลก.ตร."/>
      <sheetName val="งป."/>
      <sheetName val="กง."/>
      <sheetName val="Sheet17"/>
      <sheetName val="งบลงทุน52(เรียงตามภ.)"/>
      <sheetName val="ตาราง"/>
      <sheetName val="เปรียบเทียบ"/>
      <sheetName val="ยอดปัจจุบัน"/>
      <sheetName val="สรุปภาพรวม"/>
      <sheetName val="%ตามGF"/>
      <sheetName val="Sheet3"/>
      <sheetName val="ตามหน่วย(ข้อมูลประชุม)"/>
      <sheetName val="เปอร์เซ็นต์ตามหน่วย(ข้อมูลประชุ"/>
      <sheetName val="Sheet5"/>
      <sheetName val="สรุปหน่วยที่ต้องเร่งรัด"/>
      <sheetName val="Sheet4"/>
      <sheetName val="ลงทุน"/>
      <sheetName val="Sheet9"/>
      <sheetName val="Sheet6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6">
          <cell r="B6">
            <v>208</v>
          </cell>
          <cell r="C6">
            <v>2858391400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3"/>
    </sheetNames>
    <sheetDataSet>
      <sheetData sheetId="0">
        <row r="11">
          <cell r="I11"/>
          <cell r="M11"/>
        </row>
        <row r="12">
          <cell r="I12"/>
          <cell r="M12"/>
        </row>
        <row r="13">
          <cell r="I13"/>
          <cell r="M13"/>
        </row>
        <row r="17">
          <cell r="I17" t="str">
            <v>อยู่ระหว่างกำหนดราคากลาง</v>
          </cell>
          <cell r="M17" t="str">
            <v>อยู่ระหว่างประกาศร่างรับฟังคำวิจารณ์
ครบกำหนด 26 พ.ย.2558</v>
          </cell>
        </row>
        <row r="18">
          <cell r="I18" t="str">
            <v>อยู่ระหว่างกำหนดราคากลาง</v>
          </cell>
          <cell r="M18" t="str">
            <v>อยู่ระหว่างประกาศร่างรับฟังคำวิจารณ์
ครบกำหนด 26 พ.ย.2558</v>
          </cell>
        </row>
        <row r="19">
          <cell r="I19"/>
          <cell r="M19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4"/>
    </sheetNames>
    <sheetDataSet>
      <sheetData sheetId="0">
        <row r="11">
          <cell r="I11" t="str">
            <v> ลงนามในสัญญา 11 พ.ย.58 ลง PO วันที่ 27 พ.ย.58 </v>
          </cell>
          <cell r="M11" t="str">
            <v> ลงนามในสัญญา 11 พ.ย.58 ลง PO วันที่ 27 พ.ย.58 </v>
          </cell>
        </row>
        <row r="12">
          <cell r="I12" t="str">
            <v>ลงนามในสัญญา 11 พ.ย.58 ลง PO วันที่ 27 พ.ย.58</v>
          </cell>
          <cell r="M12" t="str">
            <v> ลงนามในสัญญา 11 พ.ย.58 ลง PO วันที่ 27 พ.ย.58 </v>
          </cell>
        </row>
        <row r="13">
          <cell r="I13" t="str">
            <v>ลงนามในสัญญา 11 พ.ย.58 ลง PO วันที่ 27 พ.ย.58</v>
          </cell>
          <cell r="M13" t="str">
            <v> ลงนามในสัญญา 11 พ.ย.58 ลง PO วันที่ 27 พ.ย.58 </v>
          </cell>
        </row>
        <row r="14">
          <cell r="I14" t="str">
            <v>ลงนามในสัญญา 11 พ.ย.58 ลง PO วันที่ 27 พ.ย.58</v>
          </cell>
          <cell r="M14" t="str">
            <v> ลงนามในสัญญา 11 พ.ย.58 ลง PO วันที่ 27 พ.ย.58 </v>
          </cell>
        </row>
        <row r="15">
          <cell r="I15" t="str">
            <v>ลงนามในสัญญา 11 พ.ย.58 ลง PO วันที่ 27 พ.ย.58</v>
          </cell>
          <cell r="M15" t="str">
            <v> ลงนามในสัญญา 11 พ.ย.58 ลง PO วันที่ 27 พ.ย.58 </v>
          </cell>
        </row>
        <row r="16">
          <cell r="I16" t="str">
            <v>ลงนามในสัญญา 11 พ.ย.58 ลง PO วันที่ 27 พ.ย.58</v>
          </cell>
          <cell r="M16" t="str">
            <v> ลงนามในสัญญา 11 พ.ย.58 ลง PO วันที่ 27 พ.ย.58 </v>
          </cell>
        </row>
        <row r="17">
          <cell r="I17"/>
          <cell r="M17"/>
        </row>
        <row r="18">
          <cell r="I18"/>
          <cell r="M18"/>
        </row>
        <row r="19">
          <cell r="I19"/>
          <cell r="M19"/>
        </row>
        <row r="23">
          <cell r="I23"/>
          <cell r="M23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5"/>
    </sheetNames>
    <sheetDataSet>
      <sheetData sheetId="0">
        <row r="11">
          <cell r="I11" t="str">
            <v xml:space="preserve"> คณะกรรมการอยู่ระหว่างทบทวนคุณลักษณะเฉพาะคาดว่าก่อหนี้ผูกพันได้ ภายในไตรมาส 1/2559 </v>
          </cell>
          <cell r="M11" t="str">
            <v xml:space="preserve"> คณะกรรมการอยู่ระหว่างทบทวนคุณลักษณะเฉพาะคาดว่าก่อหนี้ผูกพันได้ ภายในไตรมาส 1/2559 </v>
          </cell>
        </row>
        <row r="12">
          <cell r="I12" t="str">
            <v xml:space="preserve">กำหนดราคากลาง
</v>
          </cell>
          <cell r="M12" t="str">
            <v xml:space="preserve">กำหนดราคากลาง
</v>
          </cell>
        </row>
        <row r="13">
          <cell r="I13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3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4">
          <cell r="I14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4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5">
          <cell r="I15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5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6">
          <cell r="I16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6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7">
          <cell r="I17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7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8">
          <cell r="I18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8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9">
          <cell r="I19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9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20">
          <cell r="I20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20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21">
          <cell r="I21" t="str">
            <v> คณะกรรมการอยู่ระหว่างทบทวนคุณลักษณะเฉพาะคาดว่าก่อหนี้ผูกพันได้ ภายในไตรมาส 1/2559 </v>
          </cell>
          <cell r="M21" t="str">
            <v> คณะกรรมการอยู่ระหว่างทบทวนคุณลักษณะเฉพาะคาดว่าก่อหนี้ผูกพันได้ ภายในไตรมาส 1/2559 </v>
          </cell>
        </row>
        <row r="22">
          <cell r="I22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22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23">
          <cell r="I23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23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24">
          <cell r="I24"/>
          <cell r="M24"/>
        </row>
        <row r="25">
          <cell r="I25"/>
          <cell r="M25"/>
        </row>
        <row r="26">
          <cell r="I26"/>
          <cell r="M26"/>
        </row>
        <row r="30">
          <cell r="I30" t="str">
            <v>กำหนดราคากลาง</v>
          </cell>
          <cell r="M30" t="str">
            <v>กำหนดราคากลาง</v>
          </cell>
        </row>
        <row r="31">
          <cell r="I31" t="str">
            <v>กำหนดราคากลาง</v>
          </cell>
          <cell r="M31" t="str">
            <v>กำหนดราคากลาง</v>
          </cell>
        </row>
        <row r="32">
          <cell r="I32" t="str">
            <v>กำหนดราคากลาง</v>
          </cell>
          <cell r="M32" t="str">
            <v>กำหนดราคากลาง</v>
          </cell>
        </row>
        <row r="33">
          <cell r="I33" t="str">
            <v>กำหนดราคากลาง</v>
          </cell>
          <cell r="M33" t="str">
            <v>กำหนดราคากลาง</v>
          </cell>
        </row>
        <row r="34">
          <cell r="I34"/>
          <cell r="M34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6"/>
    </sheetNames>
    <sheetDataSet>
      <sheetData sheetId="0">
        <row r="11">
          <cell r="I11" t="str">
            <v>ประกาศแล้วไม่มีผู้เสนอราคา</v>
          </cell>
          <cell r="M11" t="str">
            <v>อยู่ระหว่างกำหนดคุณลักษณะเฉพาะ</v>
          </cell>
        </row>
        <row r="12">
          <cell r="I12" t="str">
            <v>อยู่ระหว่างขออนุมัติยกเลิกประกาศ TOR</v>
          </cell>
          <cell r="M12" t="str">
            <v>อยู่ระหว่างกำหนดคุณลักษณะเฉพาะ</v>
          </cell>
        </row>
        <row r="13">
          <cell r="I13"/>
          <cell r="M13"/>
        </row>
        <row r="14">
          <cell r="I14"/>
          <cell r="M14"/>
        </row>
        <row r="15">
          <cell r="I15"/>
          <cell r="M15"/>
        </row>
        <row r="19">
          <cell r="I19" t="str">
            <v>อยู่ระหว่างผู้ชนะมาลงนามสัญญา</v>
          </cell>
          <cell r="M19" t="str">
            <v>ลงนามในสัญญา วันที่ 20 พ.ย.58 พร้อมส่งมอบพื้นที่</v>
          </cell>
        </row>
        <row r="20">
          <cell r="I20" t="str">
            <v>อยู่ระหว่างกำหนดราคากลาง</v>
          </cell>
          <cell r="M20" t="str">
            <v>อยู่ระหว่างกำหนดราคากลาง</v>
          </cell>
        </row>
        <row r="21">
          <cell r="I21"/>
          <cell r="M21"/>
        </row>
        <row r="22">
          <cell r="I22" t="str">
            <v>อยู่ระหว่างกำหนดราคากลาง</v>
          </cell>
          <cell r="M22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3">
          <cell r="I23" t="str">
            <v>อยู่ระหว่างกำหนดราคากลาง</v>
          </cell>
          <cell r="M23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4">
          <cell r="I24" t="str">
            <v>อยู่ระหว่างกำหนดราคากลาง</v>
          </cell>
          <cell r="M24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5">
          <cell r="I25" t="str">
            <v>อยู่ระหว่างกำหนดราคากลาง</v>
          </cell>
          <cell r="M25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6">
          <cell r="I26" t="str">
            <v>อยู่ระหว่างกำหนดราคากลาง</v>
          </cell>
          <cell r="M26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7">
          <cell r="I27" t="str">
            <v>อยู่ระหว่างกำหนดราคากลาง</v>
          </cell>
          <cell r="M27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8">
          <cell r="I28" t="str">
            <v>อยู่ระหว่างกำหนดราคากลาง</v>
          </cell>
          <cell r="M28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9">
          <cell r="I29" t="str">
            <v>อยู่ระหว่างกำหนดราคากลาง</v>
          </cell>
          <cell r="M29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30">
          <cell r="I30" t="str">
            <v>อยู่ระหว่างกำหนดราคากลาง</v>
          </cell>
          <cell r="M30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31">
          <cell r="I31"/>
          <cell r="M3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7"/>
    </sheetNames>
    <sheetDataSet>
      <sheetData sheetId="0">
        <row r="11">
          <cell r="I11"/>
          <cell r="M11"/>
        </row>
        <row r="12">
          <cell r="I12"/>
          <cell r="M12"/>
        </row>
        <row r="13">
          <cell r="I13"/>
          <cell r="M13"/>
        </row>
        <row r="17">
          <cell r="I17"/>
          <cell r="M17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8"/>
    </sheetNames>
    <sheetDataSet>
      <sheetData sheetId="0">
        <row r="11">
          <cell r="I11" t="str">
            <v>  ได้ผู้ชนะ บ.พาโซย่า จำกัด วงเงิน 575,000 บาท  อยู่ระหว่างลงนามในสัญญา</v>
          </cell>
          <cell r="M11" t="str">
            <v> ได้ผู้ชนะ บ.พาโซย่า จำกัด วงเงิน 575,000 บาท  ลงนามในสัญญาวันที่ 1 ธ.ค.58      </v>
          </cell>
        </row>
        <row r="12">
          <cell r="I12" t="str">
            <v>  สอบราคา ระหว่าง 15 - 30 ต.ค.58 กำหนดเปิดซอง 2 พ.ย.58  </v>
          </cell>
          <cell r="M12" t="str">
            <v>  ได้ผู้ชนะ บ.เอมิโปร จำกัด วงเงิน 592,500 บาท  ลงนามในสัญญาวันที่ 1 ธ.ค.58  </v>
          </cell>
        </row>
        <row r="13">
          <cell r="I13" t="str">
            <v> สอบราคาระหว่าง 1-ต.ค.-2พ.ย.58 กำหนดเปิดซอง  3 พ.ย.58 </v>
          </cell>
          <cell r="M13" t="str">
            <v>  ได้ผู้ชนะ บ.เอมิโปร จำกัด วงเงิน 521,100 บาท ลงนามในสัญญาวันที่ 1 ธ.ค.58  </v>
          </cell>
        </row>
        <row r="14">
          <cell r="I14" t="str">
            <v>สอบราคาระหว่าง 22 ต.ค.-5พ.ย.58 กำหนดเปิดซอง 6 พ.ย.58</v>
          </cell>
          <cell r="M14" t="str">
            <v>  ได้ผู้ชนะ บ.เอมิโปร จำกัด วงเงิน 1,050,200 บาทลงนามในสัญญาวันที่ 1 ธ.ค.58  </v>
          </cell>
        </row>
        <row r="15">
          <cell r="I15" t="str">
            <v> สอบราคาระหว่าง 22 ต.ค.-6พ.ย.58 กำหนดเปิดซอง 9 พ.ย.58 </v>
          </cell>
          <cell r="M15" t="str">
            <v>   ได้ผู้ชนะ บ.มิสเตอร์คอมพวิเตอร์แอนด์คอมมูนิเคชั่น วงเงิน 695,760 บาท ลงนามในสัญญาวันที่ 1 ธ.ค.58   </v>
          </cell>
        </row>
        <row r="16">
          <cell r="I16" t="str">
            <v>   สอบราคา ระหว่าง 15 - 26 ต.ค.58 กำหนดเปิดซอง 27 ต.ค.58   </v>
          </cell>
          <cell r="M16" t="str">
            <v>    ได้ผู้ชนะ บ.เอส ดี ภูเก็ต คอมพิวเตอร์  วงเงิน 658,200  บาท ลงนามในสัญญาวันที่ 1 ธ.ค.58    </v>
          </cell>
        </row>
        <row r="17">
          <cell r="I17" t="str">
            <v> ใช้วิธีตกลงราคา สามารถลงนามได้ภายใน 30 พ.ย.58</v>
          </cell>
          <cell r="M17" t="str">
            <v>    ได้ผู้ชนะ บ.มิสเตอร์คอมพวิเตอร์แอนด์คอมมูนิเคชั่น วงเงิน 299,250  บาท ลงนามในสัญญาวันที่ 1 ธ.ค.58    </v>
          </cell>
        </row>
        <row r="18">
          <cell r="I18" t="str">
            <v>สอบราคาระหว่าง 19 ต.ค. - 3 พ.ย.58 กำหนดเปิดซอง 4 พ.ย.58</v>
          </cell>
          <cell r="M18" t="str">
            <v>     ได้ผู้ชนะ บ.ริโก้ จำกัด วงเงิน 200,000  บาท ลงนามในสัญญาวันที่ 1 ธ.ค.58     </v>
          </cell>
        </row>
        <row r="19">
          <cell r="I19" t="str">
            <v>สอบราคาระหว่าง 19 ต.ค. - 3 พ.ย.58 กำหนดเปิดซอง 4 พ.ย.58</v>
          </cell>
          <cell r="M19" t="str">
            <v>     ได้ผู้ชนะ บ.เอส ดี ภูเก็ต คอมพิวเตอร์  วงเงิน 587,510   บาท ลงนามในสัญญาวันที่ 1 ธ.ค.58     </v>
          </cell>
        </row>
        <row r="20">
          <cell r="I20" t="str">
            <v> ใช้วิธีตกลงราคา สามารถลงนามได้ภายใน 30 พ.ย.58</v>
          </cell>
          <cell r="M20" t="str">
            <v>      ได้ผู้ชนะ บ.ริโก้ จำกัด วงเงิน 240,000  บาท ลงนามในสัญญาวันที่ 1 ธ.ค.58      </v>
          </cell>
        </row>
        <row r="21">
          <cell r="I21" t="str">
            <v> สอบราคาระหว่าง 19 ต.ค. - 2 พ.ย.58 กำหนดเปิดซอง 3 พ.ย.58 </v>
          </cell>
          <cell r="M21" t="str">
            <v>     ได้ผู้ชนะ บ.มิสเตอร์คอมพวิเตอร์แอนด์คอมมูนิเคชั่น วงเงิน 201,160   บาท ลงนามในสัญญาวันที่ 1 ธ.ค.58     </v>
          </cell>
        </row>
        <row r="22">
          <cell r="I22" t="str">
            <v> ใช้วิธีตกลงราคา สามารถลงนามได้ภายใน 30 พ.ย.58</v>
          </cell>
          <cell r="M22" t="str">
            <v>       ได้ผู้ชนะ บ.ริโก้ จำกัด วงเงิน  48,000  บาท ลงนามในสัญญาวันที่ 1 ธ.ค.58       </v>
          </cell>
        </row>
        <row r="23">
          <cell r="I23"/>
          <cell r="M23"/>
        </row>
        <row r="24">
          <cell r="I24"/>
          <cell r="M24"/>
        </row>
        <row r="25">
          <cell r="I25"/>
          <cell r="M25"/>
        </row>
        <row r="29">
          <cell r="I29" t="str">
            <v> 1-12 ต.ค.58 กำหนดราคากลาง / 2-6 พ.ย.58เผยแพร่ประกาศและเอกสารประกวดราคา</v>
          </cell>
          <cell r="M29" t="str">
            <v>   -23 พ.ย.58 กำหนดเสนอราคา   ไม่มีผู้ยื่น ทำ e-bidding  ครั้งที่ 2  ลงนามทันภายใน 30 ธ.ค.58</v>
          </cell>
        </row>
        <row r="30">
          <cell r="I30" t="str">
            <v xml:space="preserve">16-22 ต.ค.58 ประกาศเชิญชวน / 16 พ.ย.กำหนดเสนอราคา </v>
          </cell>
          <cell r="M30" t="str">
            <v>   -30 พ.ย.58 เสนอสำนักงบประมาณเห็นชอบราคา   
- 14-18 ธ.ค.58 ขออนุมัติร่างผ่าน ผบ.ตร.ถึง รัฐมนตรีเจ้าสังกัด 
- 22-25 ธ.ค.58 เสนอขออนุมัติจ้างต่อรัฐมนตรีเจ้าสังกัด -30 ธ.ค.58  ลงนามในสัญญาจ้างได้ </v>
          </cell>
        </row>
        <row r="31">
          <cell r="I31" t="str">
            <v> 23-30 ก.ย.58 ประกาศเชิญชวน / 12 ต.ค.58 กำหนดเสนอราคา  /26 ต.ค.-16 พ.ย.58 เสนอสำนักงบประมาณเห็นชอบราคา</v>
          </cell>
          <cell r="M31" t="str">
            <v xml:space="preserve"> -26 ต.ค.-30 พ.ย.58เสนอสำนักงบประมาณเห็นชอบราคา 
-1-10 ธ.ค.58 ขออนุมัติจ้าง  
- 14-18 ธ.ค.58 กำหนดลงนามในสัญญา(7วัน)</v>
          </cell>
        </row>
        <row r="32">
          <cell r="I32" t="str">
            <v>26-30 ต.ค.58 กำหนดราคากลาง/2-4 พ.ย.เผยแพร่ประกาศและเอกสารประกวดราคา</v>
          </cell>
          <cell r="M32" t="str">
            <v> ประกาศเชิญชวน 20-27 พ.ย.58 </v>
          </cell>
        </row>
        <row r="33">
          <cell r="I33"/>
          <cell r="M33"/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zoomScaleNormal="100" zoomScaleSheetLayoutView="100" workbookViewId="0">
      <selection activeCell="A3" sqref="A3:M3"/>
    </sheetView>
  </sheetViews>
  <sheetFormatPr defaultColWidth="9.140625" defaultRowHeight="21.75" x14ac:dyDescent="0.5"/>
  <cols>
    <col min="1" max="1" width="5.85546875" style="617" customWidth="1"/>
    <col min="2" max="3" width="6.85546875" style="617" customWidth="1"/>
    <col min="4" max="4" width="8.42578125" style="617" customWidth="1"/>
    <col min="5" max="5" width="43" style="460" customWidth="1"/>
    <col min="6" max="6" width="16.85546875" style="559" customWidth="1"/>
    <col min="7" max="7" width="17.42578125" style="488" customWidth="1"/>
    <col min="8" max="8" width="17.42578125" style="488" hidden="1" customWidth="1"/>
    <col min="9" max="9" width="32.28515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7109375" style="488" customWidth="1"/>
    <col min="14" max="14" width="33.85546875" style="12" customWidth="1"/>
    <col min="15" max="25" width="9.140625" style="12"/>
    <col min="26" max="16384" width="9.140625" style="460"/>
  </cols>
  <sheetData>
    <row r="1" spans="1:36" ht="27.75" x14ac:dyDescent="0.65">
      <c r="A1" s="655" t="s">
        <v>679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x14ac:dyDescent="0.5">
      <c r="A3" s="656" t="s">
        <v>685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</row>
    <row r="4" spans="1:36" x14ac:dyDescent="0.5">
      <c r="A4" s="460"/>
      <c r="B4" s="460"/>
      <c r="C4" s="460"/>
      <c r="D4" s="460"/>
      <c r="F4" s="654"/>
      <c r="G4" s="654"/>
      <c r="H4" s="617"/>
      <c r="I4" s="617"/>
      <c r="J4" s="616"/>
      <c r="M4" s="617"/>
      <c r="N4" s="618"/>
      <c r="O4" s="618"/>
    </row>
    <row r="5" spans="1:36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75</v>
      </c>
      <c r="J5" s="643" t="s">
        <v>50</v>
      </c>
      <c r="K5" s="643" t="s">
        <v>51</v>
      </c>
      <c r="L5" s="657" t="s">
        <v>52</v>
      </c>
      <c r="M5" s="651" t="s">
        <v>678</v>
      </c>
      <c r="N5" s="642" t="s">
        <v>53</v>
      </c>
      <c r="O5" s="642" t="s">
        <v>54</v>
      </c>
    </row>
    <row r="6" spans="1:36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642"/>
      <c r="O6" s="642"/>
    </row>
    <row r="7" spans="1:36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642"/>
      <c r="O7" s="642"/>
    </row>
    <row r="8" spans="1:36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642"/>
      <c r="O8" s="642"/>
    </row>
    <row r="9" spans="1:36" x14ac:dyDescent="0.5">
      <c r="A9" s="10"/>
      <c r="B9" s="10"/>
      <c r="C9" s="10"/>
      <c r="D9" s="10"/>
      <c r="E9" s="29" t="s">
        <v>11</v>
      </c>
      <c r="F9" s="10"/>
      <c r="G9" s="100"/>
      <c r="H9" s="100"/>
      <c r="I9" s="100"/>
      <c r="J9" s="100"/>
      <c r="K9" s="468"/>
      <c r="L9" s="468"/>
      <c r="M9" s="100"/>
    </row>
    <row r="10" spans="1:36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</row>
    <row r="11" spans="1:36" s="284" customFormat="1" ht="135" x14ac:dyDescent="0.2">
      <c r="A11" s="261">
        <v>1</v>
      </c>
      <c r="B11" s="261"/>
      <c r="C11" s="554" t="s">
        <v>673</v>
      </c>
      <c r="D11" s="261" t="s">
        <v>11</v>
      </c>
      <c r="E11" s="555" t="s">
        <v>675</v>
      </c>
      <c r="F11" s="534">
        <v>1677000</v>
      </c>
      <c r="G11" s="281"/>
      <c r="H11" s="281"/>
      <c r="I11" s="281"/>
      <c r="J11" s="281"/>
      <c r="K11" s="283"/>
      <c r="L11" s="283"/>
      <c r="M11" s="281"/>
    </row>
    <row r="12" spans="1:36" s="284" customFormat="1" ht="135" x14ac:dyDescent="0.2">
      <c r="A12" s="261">
        <v>2</v>
      </c>
      <c r="B12" s="261"/>
      <c r="C12" s="554" t="s">
        <v>673</v>
      </c>
      <c r="D12" s="261" t="s">
        <v>11</v>
      </c>
      <c r="E12" s="555" t="s">
        <v>676</v>
      </c>
      <c r="F12" s="534">
        <v>90000</v>
      </c>
      <c r="G12" s="281"/>
      <c r="H12" s="281"/>
      <c r="I12" s="281"/>
      <c r="J12" s="281"/>
      <c r="K12" s="283"/>
      <c r="L12" s="283"/>
      <c r="M12" s="281"/>
    </row>
    <row r="13" spans="1:36" s="284" customFormat="1" ht="135" x14ac:dyDescent="0.2">
      <c r="A13" s="261">
        <v>3</v>
      </c>
      <c r="B13" s="261"/>
      <c r="C13" s="554" t="s">
        <v>673</v>
      </c>
      <c r="D13" s="261" t="s">
        <v>11</v>
      </c>
      <c r="E13" s="555" t="s">
        <v>677</v>
      </c>
      <c r="F13" s="534">
        <v>288000</v>
      </c>
      <c r="G13" s="281"/>
      <c r="H13" s="281"/>
      <c r="I13" s="281"/>
      <c r="J13" s="281"/>
      <c r="K13" s="283"/>
      <c r="L13" s="283"/>
      <c r="M13" s="281"/>
    </row>
    <row r="14" spans="1:36" s="16" customFormat="1" x14ac:dyDescent="0.2">
      <c r="A14" s="14"/>
      <c r="B14" s="476"/>
      <c r="C14" s="476"/>
      <c r="D14" s="476"/>
      <c r="E14" s="477"/>
      <c r="F14" s="478"/>
      <c r="G14" s="31"/>
      <c r="H14" s="31"/>
      <c r="I14" s="31"/>
      <c r="J14" s="31"/>
      <c r="K14" s="15"/>
      <c r="L14" s="15"/>
      <c r="M14" s="31"/>
    </row>
    <row r="15" spans="1:36" s="12" customFormat="1" x14ac:dyDescent="0.5">
      <c r="A15" s="232">
        <f>+A13</f>
        <v>3</v>
      </c>
      <c r="B15" s="232"/>
      <c r="C15" s="232"/>
      <c r="D15" s="232"/>
      <c r="E15" s="233" t="s">
        <v>58</v>
      </c>
      <c r="F15" s="297">
        <f>SUM(F11:F14)</f>
        <v>2055000</v>
      </c>
      <c r="G15" s="234">
        <f>SUM(G14:G14)</f>
        <v>0</v>
      </c>
      <c r="H15" s="234">
        <f>SUM(H14:H14)</f>
        <v>0</v>
      </c>
      <c r="I15" s="234"/>
      <c r="J15" s="234">
        <f>SUM(J14:J14)</f>
        <v>0</v>
      </c>
      <c r="K15" s="234">
        <f>SUM(K14:K14)</f>
        <v>0</v>
      </c>
      <c r="L15" s="234">
        <f>SUM(L14:L14)</f>
        <v>0</v>
      </c>
      <c r="M15" s="234"/>
      <c r="N15" s="231"/>
      <c r="O15" s="231"/>
    </row>
    <row r="16" spans="1:36" s="16" customFormat="1" x14ac:dyDescent="0.2">
      <c r="A16" s="14"/>
      <c r="B16" s="14"/>
      <c r="C16" s="14"/>
      <c r="D16" s="14"/>
      <c r="E16" s="27" t="s">
        <v>59</v>
      </c>
      <c r="F16" s="304"/>
      <c r="G16" s="31"/>
      <c r="H16" s="31"/>
      <c r="I16" s="31"/>
      <c r="J16" s="31"/>
      <c r="K16" s="15"/>
      <c r="L16" s="15"/>
      <c r="M16" s="31"/>
    </row>
    <row r="17" spans="1:44" s="16" customFormat="1" ht="135" x14ac:dyDescent="0.2">
      <c r="A17" s="261">
        <v>1</v>
      </c>
      <c r="B17" s="261"/>
      <c r="C17" s="554" t="s">
        <v>673</v>
      </c>
      <c r="D17" s="261" t="s">
        <v>11</v>
      </c>
      <c r="E17" s="533" t="s">
        <v>680</v>
      </c>
      <c r="F17" s="534">
        <v>1500000</v>
      </c>
      <c r="G17" s="281"/>
      <c r="H17" s="281"/>
      <c r="I17" s="281"/>
      <c r="J17" s="31"/>
      <c r="K17" s="15"/>
      <c r="L17" s="15"/>
      <c r="M17" s="281"/>
    </row>
    <row r="18" spans="1:44" s="16" customFormat="1" ht="135" x14ac:dyDescent="0.2">
      <c r="A18" s="261">
        <v>2</v>
      </c>
      <c r="B18" s="261"/>
      <c r="C18" s="554" t="s">
        <v>673</v>
      </c>
      <c r="D18" s="261" t="s">
        <v>11</v>
      </c>
      <c r="E18" s="533" t="s">
        <v>681</v>
      </c>
      <c r="F18" s="534">
        <v>983000</v>
      </c>
      <c r="G18" s="281"/>
      <c r="H18" s="281"/>
      <c r="I18" s="281"/>
      <c r="J18" s="31"/>
      <c r="K18" s="15"/>
      <c r="L18" s="15"/>
      <c r="M18" s="281"/>
    </row>
    <row r="19" spans="1:44" s="16" customFormat="1" x14ac:dyDescent="0.2">
      <c r="A19" s="14"/>
      <c r="B19" s="14"/>
      <c r="C19" s="14"/>
      <c r="D19" s="14"/>
      <c r="E19" s="477"/>
      <c r="F19" s="496"/>
      <c r="G19" s="31"/>
      <c r="H19" s="31"/>
      <c r="I19" s="31"/>
      <c r="J19" s="31"/>
      <c r="K19" s="15"/>
      <c r="L19" s="15"/>
      <c r="M19" s="31"/>
    </row>
    <row r="20" spans="1:44" s="16" customFormat="1" ht="22.5" thickBot="1" x14ac:dyDescent="0.55000000000000004">
      <c r="A20" s="235">
        <f>+A18</f>
        <v>2</v>
      </c>
      <c r="B20" s="235"/>
      <c r="C20" s="235"/>
      <c r="D20" s="235"/>
      <c r="E20" s="236" t="s">
        <v>60</v>
      </c>
      <c r="F20" s="298">
        <f>SUM(F17:F19)</f>
        <v>2483000</v>
      </c>
      <c r="G20" s="237">
        <f>SUM(G17:G19)</f>
        <v>0</v>
      </c>
      <c r="H20" s="237">
        <f>SUM(H17:H19)</f>
        <v>0</v>
      </c>
      <c r="I20" s="237"/>
      <c r="J20" s="237">
        <f>SUM(J17:J19)</f>
        <v>0</v>
      </c>
      <c r="K20" s="237">
        <f>SUM(K17:K19)</f>
        <v>0</v>
      </c>
      <c r="L20" s="237">
        <f>SUM(L17:L19)</f>
        <v>0</v>
      </c>
      <c r="M20" s="237"/>
      <c r="N20" s="231"/>
      <c r="O20" s="231"/>
    </row>
    <row r="21" spans="1:44" s="480" customFormat="1" ht="22.5" thickBot="1" x14ac:dyDescent="0.55000000000000004">
      <c r="A21" s="238">
        <f>+A15+A20</f>
        <v>5</v>
      </c>
      <c r="B21" s="239"/>
      <c r="C21" s="239"/>
      <c r="D21" s="239"/>
      <c r="E21" s="239" t="s">
        <v>138</v>
      </c>
      <c r="F21" s="299">
        <f>F15+F20</f>
        <v>4538000</v>
      </c>
      <c r="G21" s="240">
        <f>+G15+G20</f>
        <v>0</v>
      </c>
      <c r="H21" s="240">
        <f>+H15+H20</f>
        <v>0</v>
      </c>
      <c r="I21" s="240"/>
      <c r="J21" s="240">
        <f>J15+J20</f>
        <v>0</v>
      </c>
      <c r="K21" s="240">
        <f>K15+K20</f>
        <v>0</v>
      </c>
      <c r="L21" s="240">
        <f>L15+L20</f>
        <v>0</v>
      </c>
      <c r="M21" s="240"/>
      <c r="N21" s="619"/>
      <c r="O21" s="619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44" s="16" customFormat="1" x14ac:dyDescent="0.2">
      <c r="A22" s="481"/>
      <c r="B22" s="481"/>
      <c r="C22" s="481"/>
      <c r="D22" s="481"/>
      <c r="E22" s="482"/>
      <c r="F22" s="558"/>
      <c r="G22" s="375"/>
      <c r="H22" s="375"/>
      <c r="I22" s="375"/>
      <c r="J22" s="375"/>
      <c r="K22" s="376"/>
      <c r="L22" s="376"/>
      <c r="M22" s="375"/>
    </row>
    <row r="23" spans="1:44" s="16" customFormat="1" x14ac:dyDescent="0.5">
      <c r="A23" s="481"/>
      <c r="B23" s="481"/>
      <c r="C23" s="481"/>
      <c r="D23" s="481"/>
      <c r="E23" s="621" t="s">
        <v>61</v>
      </c>
      <c r="F23" s="622">
        <f>SUM(บช.น.!F27+ภ.1!F18+ภ.2!F23+ภ.4!F21+ภ.6!F17+ภ.7!F15+ภ.9!F19+ศชต.!F27+บช.ก.!F34+บช.ปส.!F28+บช.ส.!F16+สตม.!F22+บช.ตชด.!F38+สง.นรป.!F13+สพฐ.ตร.!F19+สทส.!F22+บช.ศ.!F25+รร.นรต.!F18+รพ.ตร.!F17+สยศ.ตร.!F14+สกบ.!F44+สกพ.!F12+สงป.!F13+กมค.!F19+สง.ก.ตร.!F16+จต.!F13+สตส.!F13+สท.!F19+สง.ก.ต.ช.!F13+บ.ตร.!F22+วน.!F15)</f>
        <v>3115126100</v>
      </c>
      <c r="G23" s="415" t="s">
        <v>62</v>
      </c>
      <c r="H23" s="415"/>
      <c r="I23" s="375"/>
      <c r="J23" s="380">
        <f>SUM(บช.น.!A27+ภ.1!A18+ภ.2!A23+ภ.4!A21+ภ.6!A17+ภ.7!A15+ภ.9!A19+ศชต.!A27+ภ.5!A28+ภ.8!A27+บช.ก.!A34+บช.ปส.!A28+บช.ส.!A16+สตม.!A22+บช.ตชด.!A38+สง.นรป.!A13+สพฐ.ตร.!A19+สทส.!A22+บช.ศ.!A25+รร.นรต.!A18+รพ.ตร.!A17+สยศ.ตร.!A14+สกบ.!A44+สกพ.!A12+สงป.!A13+กมค.!A19+สง.ก.ตร.!A16+จต.!A13+สตส.!A13+สท.!A19+สง.ก.ต.ช.!A13+บ.ตร.!A22+วน.!A15+สลก.ตร.!A19+ตท.!A21)</f>
        <v>275</v>
      </c>
      <c r="K23" s="376"/>
      <c r="L23" s="376"/>
      <c r="M23" s="375"/>
    </row>
    <row r="24" spans="1:44" x14ac:dyDescent="0.5">
      <c r="E24" s="623" t="s">
        <v>63</v>
      </c>
      <c r="F24" s="624">
        <f>SUM(บช.น.!F31+ภ.1!F22+ภ.2!F29+ภ.3!F21+ภ.4!F25+ภ.5!F36+ภ.6!F33+ภ.7!F19+ภ.8!F35+ภ.9!F25+ศชต.!F54+บช.ก.!F38+บช.ส.!F22+สตม.!F33+บช.ตชด.!F82+สพฐ.ตร.!F25+สทส.!F27+บช.ศ.!F37+รพ.ตร.!F21+สกบ.!F54+สกพ.!F18+กมค.!F24+บ.ตร.!F29)</f>
        <v>1613643200</v>
      </c>
      <c r="G24" s="415" t="s">
        <v>62</v>
      </c>
      <c r="H24" s="415"/>
      <c r="I24" s="375"/>
      <c r="J24" s="620">
        <f>SUM(บช.น.!A31+ภ.1!A22+ภ.2!A29+ภ.3!A21+ภ.4!A25+ภ.5!A36+ภ.6!A33+ภ.7!A19+ภ.8!A35+ภ.9!A25+ศชต.!A54+บช.ก.!A38+บช.ปส.!A43+บช.ส.!A22+สตม.!A33+บช.ตชด.!A82+สง.นรป.!A17+สพฐ.ตร.!A25+สทส.!A27+บช.ศ.!A37+รร.นรต.!A22+รพ.ตร.!A21+สยศ.ตร.!A18+สกบ.!A54+สกพ.!A18+สงป.!A17+กมค.!A24+สง.ก.ตร.!A20+จต.!A17+สตส.!A17+สลก.ตร.!A23+ตท.!A25+สท.!A23+สง.ก.ต.ช.!A17+บ.ตร.!A29+วน.!A19)</f>
        <v>141</v>
      </c>
      <c r="M24" s="375"/>
    </row>
    <row r="25" spans="1:44" s="77" customFormat="1" ht="22.5" thickBot="1" x14ac:dyDescent="0.55000000000000004">
      <c r="A25" s="483"/>
      <c r="B25" s="483"/>
      <c r="C25" s="483"/>
      <c r="D25" s="483"/>
      <c r="E25" s="461" t="s">
        <v>64</v>
      </c>
      <c r="F25" s="625"/>
      <c r="G25" s="626"/>
      <c r="H25" s="627"/>
      <c r="I25" s="119"/>
      <c r="J25" s="119"/>
      <c r="K25" s="484"/>
      <c r="L25" s="484"/>
      <c r="M25" s="119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</row>
    <row r="26" spans="1:44" s="77" customFormat="1" ht="22.5" thickTop="1" x14ac:dyDescent="0.5">
      <c r="A26" s="483"/>
      <c r="B26" s="483"/>
      <c r="C26" s="483"/>
      <c r="D26" s="483"/>
      <c r="E26" s="461" t="s">
        <v>65</v>
      </c>
      <c r="F26" s="624"/>
      <c r="G26" s="627"/>
      <c r="H26" s="627"/>
      <c r="I26" s="119"/>
      <c r="J26" s="119"/>
      <c r="K26" s="484"/>
      <c r="L26" s="484"/>
      <c r="M26" s="119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</row>
    <row r="27" spans="1:44" s="77" customFormat="1" x14ac:dyDescent="0.5">
      <c r="A27" s="483"/>
      <c r="B27" s="483"/>
      <c r="C27" s="483"/>
      <c r="D27" s="483"/>
      <c r="E27" s="461" t="s">
        <v>66</v>
      </c>
      <c r="F27" s="624"/>
      <c r="G27" s="627"/>
      <c r="H27" s="627"/>
      <c r="I27" s="119"/>
      <c r="J27" s="119"/>
      <c r="K27" s="484"/>
      <c r="L27" s="484"/>
      <c r="M27" s="119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</row>
    <row r="28" spans="1:44" s="77" customFormat="1" x14ac:dyDescent="0.5">
      <c r="A28" s="483"/>
      <c r="B28" s="483"/>
      <c r="C28" s="483"/>
      <c r="D28" s="483"/>
      <c r="E28" s="461" t="s">
        <v>67</v>
      </c>
      <c r="F28" s="624"/>
      <c r="G28" s="627"/>
      <c r="H28" s="627"/>
      <c r="I28" s="119"/>
      <c r="J28" s="119"/>
      <c r="K28" s="484"/>
      <c r="L28" s="484"/>
      <c r="M28" s="119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</row>
    <row r="29" spans="1:44" x14ac:dyDescent="0.5">
      <c r="E29" s="461"/>
      <c r="F29" s="624"/>
      <c r="G29" s="627"/>
      <c r="H29" s="627"/>
    </row>
  </sheetData>
  <mergeCells count="20">
    <mergeCell ref="F4:G4"/>
    <mergeCell ref="A1:M1"/>
    <mergeCell ref="A2:M2"/>
    <mergeCell ref="A3:M3"/>
    <mergeCell ref="N5:N8"/>
    <mergeCell ref="A5:A8"/>
    <mergeCell ref="K5:K8"/>
    <mergeCell ref="L5:L8"/>
    <mergeCell ref="F6:F8"/>
    <mergeCell ref="C5:C8"/>
    <mergeCell ref="G6:G8"/>
    <mergeCell ref="O5:O8"/>
    <mergeCell ref="J5:J8"/>
    <mergeCell ref="B5:B8"/>
    <mergeCell ref="D5:D8"/>
    <mergeCell ref="E5:E8"/>
    <mergeCell ref="I5:I8"/>
    <mergeCell ref="F5:H5"/>
    <mergeCell ref="H6:H8"/>
    <mergeCell ref="M5:M8"/>
  </mergeCells>
  <pageMargins left="0.51181102362204722" right="0.51181102362204722" top="0.74803149606299213" bottom="0.55118110236220474" header="0.31496062992125984" footer="0.31496062992125984"/>
  <pageSetup paperSize="9" scale="83" orientation="landscape" blackAndWhite="1" r:id="rId1"/>
  <rowBreaks count="1" manualBreakCount="1">
    <brk id="2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9"/>
  <sheetViews>
    <sheetView zoomScale="90" zoomScaleNormal="90" zoomScaleSheetLayoutView="9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8.5703125" style="486" customWidth="1"/>
    <col min="3" max="3" width="6.85546875" style="486" customWidth="1"/>
    <col min="4" max="4" width="8.42578125" style="486" customWidth="1"/>
    <col min="5" max="5" width="42.85546875" style="460" customWidth="1"/>
    <col min="6" max="6" width="15.140625" style="487" customWidth="1"/>
    <col min="7" max="7" width="13.5703125" style="488" customWidth="1"/>
    <col min="8" max="8" width="13.5703125" style="488" hidden="1" customWidth="1"/>
    <col min="9" max="9" width="39.7109375" style="488" customWidth="1"/>
    <col min="10" max="10" width="13.140625" style="488" hidden="1" customWidth="1"/>
    <col min="11" max="11" width="12.140625" style="464" hidden="1" customWidth="1"/>
    <col min="12" max="12" width="0.140625" style="464" hidden="1" customWidth="1"/>
    <col min="13" max="13" width="36.8554687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4</v>
      </c>
      <c r="Q2" s="397">
        <f>SUM(F11:F13)</f>
        <v>391200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 t="s">
        <v>70</v>
      </c>
      <c r="Q3" s="462" t="s">
        <v>70</v>
      </c>
      <c r="R3" s="463">
        <v>46</v>
      </c>
      <c r="S3" s="462">
        <f>SUM(F17:F18)</f>
        <v>13718100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9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05" x14ac:dyDescent="0.2">
      <c r="A11" s="261">
        <v>1</v>
      </c>
      <c r="B11" s="261" t="s">
        <v>9</v>
      </c>
      <c r="C11" s="475" t="s">
        <v>238</v>
      </c>
      <c r="D11" s="261" t="s">
        <v>9</v>
      </c>
      <c r="E11" s="473" t="s">
        <v>661</v>
      </c>
      <c r="F11" s="281">
        <v>44000</v>
      </c>
      <c r="G11" s="281"/>
      <c r="H11" s="281"/>
      <c r="I11" s="281">
        <f>+[4]ภ.3!I11</f>
        <v>0</v>
      </c>
      <c r="J11" s="31"/>
      <c r="K11" s="15"/>
      <c r="L11" s="15"/>
      <c r="M11" s="281">
        <f>+[4]ภ.3!M11</f>
        <v>0</v>
      </c>
      <c r="N11" s="407">
        <v>1</v>
      </c>
      <c r="O11" s="400"/>
      <c r="P11" s="400"/>
      <c r="Q11" s="400"/>
      <c r="R11" s="400"/>
      <c r="S11" s="400"/>
    </row>
    <row r="12" spans="1:38" s="16" customFormat="1" ht="105" x14ac:dyDescent="0.2">
      <c r="A12" s="261">
        <v>2</v>
      </c>
      <c r="B12" s="261" t="s">
        <v>9</v>
      </c>
      <c r="C12" s="475" t="s">
        <v>238</v>
      </c>
      <c r="D12" s="261" t="s">
        <v>9</v>
      </c>
      <c r="E12" s="473" t="s">
        <v>662</v>
      </c>
      <c r="F12" s="281">
        <v>163200</v>
      </c>
      <c r="G12" s="281"/>
      <c r="H12" s="281"/>
      <c r="I12" s="281">
        <f>+[4]ภ.3!I12</f>
        <v>0</v>
      </c>
      <c r="J12" s="31"/>
      <c r="K12" s="15"/>
      <c r="L12" s="15"/>
      <c r="M12" s="281">
        <f>+[4]ภ.3!M12</f>
        <v>0</v>
      </c>
      <c r="N12" s="407">
        <v>1</v>
      </c>
      <c r="O12" s="400"/>
      <c r="P12" s="400"/>
      <c r="Q12" s="400"/>
      <c r="R12" s="400"/>
      <c r="S12" s="400"/>
    </row>
    <row r="13" spans="1:38" s="16" customFormat="1" ht="111.75" customHeight="1" x14ac:dyDescent="0.2">
      <c r="A13" s="261">
        <v>3</v>
      </c>
      <c r="B13" s="261" t="s">
        <v>9</v>
      </c>
      <c r="C13" s="475" t="s">
        <v>238</v>
      </c>
      <c r="D13" s="261" t="s">
        <v>9</v>
      </c>
      <c r="E13" s="473" t="s">
        <v>663</v>
      </c>
      <c r="F13" s="474">
        <v>184000</v>
      </c>
      <c r="G13" s="321"/>
      <c r="H13" s="321"/>
      <c r="I13" s="281">
        <f>+[4]ภ.3!I13</f>
        <v>0</v>
      </c>
      <c r="J13" s="31"/>
      <c r="K13" s="15"/>
      <c r="L13" s="15"/>
      <c r="M13" s="281">
        <f>+[4]ภ.3!M13</f>
        <v>0</v>
      </c>
      <c r="N13" s="407">
        <v>1</v>
      </c>
      <c r="O13" s="400"/>
      <c r="P13" s="400"/>
      <c r="Q13" s="400"/>
      <c r="R13" s="400"/>
      <c r="S13" s="400"/>
    </row>
    <row r="14" spans="1:38" s="16" customFormat="1" ht="23.25" customHeight="1" x14ac:dyDescent="0.2">
      <c r="A14" s="14"/>
      <c r="B14" s="476"/>
      <c r="C14" s="476"/>
      <c r="D14" s="476"/>
      <c r="E14" s="477"/>
      <c r="F14" s="497"/>
      <c r="G14" s="31"/>
      <c r="H14" s="31"/>
      <c r="I14" s="31"/>
      <c r="J14" s="31"/>
      <c r="K14" s="15"/>
      <c r="L14" s="15"/>
      <c r="M14" s="31"/>
      <c r="N14" s="407"/>
      <c r="O14" s="400"/>
      <c r="P14" s="400"/>
      <c r="Q14" s="400"/>
      <c r="R14" s="400"/>
      <c r="S14" s="400"/>
    </row>
    <row r="15" spans="1:38" s="12" customFormat="1" x14ac:dyDescent="0.5">
      <c r="A15" s="232">
        <f>+A13</f>
        <v>3</v>
      </c>
      <c r="B15" s="232"/>
      <c r="C15" s="232"/>
      <c r="D15" s="232"/>
      <c r="E15" s="233" t="s">
        <v>58</v>
      </c>
      <c r="F15" s="249">
        <f>SUM(F11:F14)</f>
        <v>391200</v>
      </c>
      <c r="G15" s="234">
        <f>SUM(G13:G14)</f>
        <v>0</v>
      </c>
      <c r="H15" s="234">
        <f>SUM(H13:H14)</f>
        <v>0</v>
      </c>
      <c r="I15" s="249"/>
      <c r="J15" s="249">
        <f>SUM(J14:J14)</f>
        <v>0</v>
      </c>
      <c r="K15" s="249">
        <f>SUM(K14:K14)</f>
        <v>0</v>
      </c>
      <c r="L15" s="249">
        <f>SUM(L14:L14)</f>
        <v>0</v>
      </c>
      <c r="M15" s="249"/>
      <c r="N15" s="406"/>
      <c r="O15" s="397">
        <f>+F15+G15</f>
        <v>391200</v>
      </c>
      <c r="P15" s="398"/>
      <c r="Q15" s="398"/>
      <c r="R15" s="399"/>
      <c r="S15" s="399"/>
    </row>
    <row r="16" spans="1:38" s="16" customFormat="1" x14ac:dyDescent="0.2">
      <c r="A16" s="14"/>
      <c r="B16" s="14"/>
      <c r="C16" s="14"/>
      <c r="D16" s="14"/>
      <c r="E16" s="27" t="s">
        <v>59</v>
      </c>
      <c r="F16" s="31"/>
      <c r="G16" s="31"/>
      <c r="H16" s="31"/>
      <c r="I16" s="31"/>
      <c r="J16" s="31"/>
      <c r="K16" s="15"/>
      <c r="L16" s="15"/>
      <c r="M16" s="31"/>
      <c r="N16" s="407"/>
      <c r="O16" s="400"/>
      <c r="P16" s="400"/>
      <c r="Q16" s="400"/>
      <c r="R16" s="400"/>
      <c r="S16" s="400"/>
    </row>
    <row r="17" spans="1:46" s="16" customFormat="1" ht="51.75" x14ac:dyDescent="0.2">
      <c r="A17" s="425">
        <v>1</v>
      </c>
      <c r="B17" s="425"/>
      <c r="C17" s="494" t="s">
        <v>76</v>
      </c>
      <c r="D17" s="425" t="s">
        <v>9</v>
      </c>
      <c r="E17" s="470" t="s">
        <v>108</v>
      </c>
      <c r="F17" s="426">
        <v>10518100</v>
      </c>
      <c r="G17" s="504"/>
      <c r="H17" s="504"/>
      <c r="I17" s="505" t="str">
        <f>+[4]ภ.3!I17</f>
        <v>อยู่ระหว่างกำหนดราคากลาง</v>
      </c>
      <c r="J17" s="263"/>
      <c r="K17" s="15"/>
      <c r="L17" s="15"/>
      <c r="M17" s="505" t="str">
        <f>+[4]ภ.3!M17</f>
        <v>อยู่ระหว่างประกาศร่างรับฟังคำวิจารณ์
ครบกำหนด 26 พ.ย.2558</v>
      </c>
      <c r="N17" s="407">
        <v>2</v>
      </c>
      <c r="O17" s="400"/>
      <c r="P17" s="400"/>
      <c r="Q17" s="400"/>
      <c r="R17" s="400"/>
      <c r="S17" s="400"/>
    </row>
    <row r="18" spans="1:46" s="16" customFormat="1" ht="45" x14ac:dyDescent="0.2">
      <c r="A18" s="425">
        <v>2</v>
      </c>
      <c r="B18" s="425"/>
      <c r="C18" s="506" t="s">
        <v>109</v>
      </c>
      <c r="D18" s="425" t="s">
        <v>9</v>
      </c>
      <c r="E18" s="470" t="s">
        <v>110</v>
      </c>
      <c r="F18" s="426">
        <v>3200000</v>
      </c>
      <c r="G18" s="504"/>
      <c r="H18" s="504"/>
      <c r="I18" s="505" t="str">
        <f>+[4]ภ.3!I18</f>
        <v>อยู่ระหว่างกำหนดราคากลาง</v>
      </c>
      <c r="J18" s="263"/>
      <c r="K18" s="15"/>
      <c r="L18" s="15"/>
      <c r="M18" s="505" t="str">
        <f>+[4]ภ.3!M18</f>
        <v>อยู่ระหว่างประกาศร่างรับฟังคำวิจารณ์
ครบกำหนด 26 พ.ย.2558</v>
      </c>
      <c r="N18" s="407">
        <v>2</v>
      </c>
      <c r="O18" s="400"/>
      <c r="P18" s="400"/>
      <c r="Q18" s="400"/>
      <c r="R18" s="400"/>
      <c r="S18" s="400"/>
    </row>
    <row r="19" spans="1:46" s="16" customFormat="1" ht="105" x14ac:dyDescent="0.2">
      <c r="A19" s="261">
        <v>3</v>
      </c>
      <c r="B19" s="261" t="s">
        <v>9</v>
      </c>
      <c r="C19" s="475" t="s">
        <v>660</v>
      </c>
      <c r="D19" s="261" t="s">
        <v>9</v>
      </c>
      <c r="E19" s="473" t="s">
        <v>664</v>
      </c>
      <c r="F19" s="281">
        <v>400000</v>
      </c>
      <c r="G19" s="507"/>
      <c r="H19" s="507"/>
      <c r="I19" s="508">
        <f>+[4]ภ.3!I19</f>
        <v>0</v>
      </c>
      <c r="J19" s="263"/>
      <c r="K19" s="15"/>
      <c r="L19" s="15"/>
      <c r="M19" s="508">
        <f>+[4]ภ.3!M19</f>
        <v>0</v>
      </c>
      <c r="N19" s="407"/>
      <c r="O19" s="400"/>
      <c r="P19" s="400"/>
      <c r="Q19" s="400"/>
      <c r="R19" s="400"/>
      <c r="S19" s="400"/>
    </row>
    <row r="20" spans="1:46" s="16" customFormat="1" x14ac:dyDescent="0.2">
      <c r="A20" s="14"/>
      <c r="B20" s="14"/>
      <c r="C20" s="14"/>
      <c r="D20" s="14"/>
      <c r="E20" s="477"/>
      <c r="F20" s="15"/>
      <c r="G20" s="31"/>
      <c r="H20" s="31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6" customFormat="1" ht="22.5" thickBot="1" x14ac:dyDescent="0.55000000000000004">
      <c r="A21" s="235">
        <f>+A19</f>
        <v>3</v>
      </c>
      <c r="B21" s="235"/>
      <c r="C21" s="235"/>
      <c r="D21" s="235"/>
      <c r="E21" s="236" t="s">
        <v>60</v>
      </c>
      <c r="F21" s="314">
        <f>SUM(F17:F20)</f>
        <v>14118100</v>
      </c>
      <c r="G21" s="237">
        <f>SUM(G17:G20)</f>
        <v>0</v>
      </c>
      <c r="H21" s="237">
        <f>SUM(H17:H20)</f>
        <v>0</v>
      </c>
      <c r="I21" s="250"/>
      <c r="J21" s="250">
        <f>SUM(J20:J20)</f>
        <v>0</v>
      </c>
      <c r="K21" s="250">
        <f>SUM(K20:K20)</f>
        <v>0</v>
      </c>
      <c r="L21" s="250">
        <f>SUM(L20:L20)</f>
        <v>0</v>
      </c>
      <c r="M21" s="250"/>
      <c r="N21" s="405"/>
      <c r="O21" s="402">
        <f>+F21+G21</f>
        <v>14118100</v>
      </c>
      <c r="P21" s="398"/>
      <c r="Q21" s="398"/>
      <c r="R21" s="400"/>
      <c r="S21" s="400"/>
    </row>
    <row r="22" spans="1:46" s="480" customFormat="1" ht="22.5" thickBot="1" x14ac:dyDescent="0.55000000000000004">
      <c r="A22" s="238">
        <f>+A15+A21</f>
        <v>6</v>
      </c>
      <c r="B22" s="239"/>
      <c r="C22" s="239"/>
      <c r="D22" s="239"/>
      <c r="E22" s="239" t="s">
        <v>111</v>
      </c>
      <c r="F22" s="299">
        <f>F15+F21</f>
        <v>14509300</v>
      </c>
      <c r="G22" s="289">
        <f>+G15+G21</f>
        <v>0</v>
      </c>
      <c r="H22" s="289">
        <f>+H15+H21</f>
        <v>0</v>
      </c>
      <c r="I22" s="240"/>
      <c r="J22" s="240">
        <f>J15+J21</f>
        <v>0</v>
      </c>
      <c r="K22" s="240">
        <f>K15+K21</f>
        <v>0</v>
      </c>
      <c r="L22" s="240">
        <f>L15+L21</f>
        <v>0</v>
      </c>
      <c r="M22" s="240"/>
      <c r="N22" s="408"/>
      <c r="O22" s="397">
        <f>+O15+O21</f>
        <v>14509300</v>
      </c>
      <c r="P22" s="479"/>
      <c r="Q22" s="479"/>
      <c r="R22" s="399"/>
      <c r="S22" s="399"/>
      <c r="T22" s="12"/>
      <c r="U22" s="12"/>
      <c r="V22" s="12"/>
      <c r="W22" s="12"/>
      <c r="X22" s="12"/>
      <c r="Y22" s="12"/>
      <c r="Z22" s="12"/>
      <c r="AA22" s="12"/>
    </row>
    <row r="23" spans="1:46" s="16" customFormat="1" x14ac:dyDescent="0.2">
      <c r="A23" s="481"/>
      <c r="B23" s="481"/>
      <c r="C23" s="481"/>
      <c r="D23" s="481"/>
      <c r="E23" s="482"/>
      <c r="F23" s="376"/>
      <c r="G23" s="375"/>
      <c r="H23" s="375"/>
      <c r="I23" s="375"/>
      <c r="J23" s="375"/>
      <c r="K23" s="376"/>
      <c r="L23" s="376"/>
      <c r="M23" s="375"/>
      <c r="N23" s="407"/>
      <c r="O23" s="400"/>
      <c r="P23" s="400"/>
      <c r="Q23" s="400"/>
      <c r="R23" s="400"/>
      <c r="S23" s="400"/>
    </row>
    <row r="24" spans="1:46" s="16" customFormat="1" x14ac:dyDescent="0.5">
      <c r="A24" s="481"/>
      <c r="B24" s="481"/>
      <c r="C24" s="481"/>
      <c r="D24" s="481"/>
      <c r="E24" s="482"/>
      <c r="F24" s="252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6" spans="1:46" s="77" customFormat="1" x14ac:dyDescent="0.5">
      <c r="A26" s="483"/>
      <c r="B26" s="483"/>
      <c r="C26" s="483"/>
      <c r="D26" s="483"/>
      <c r="F26" s="262"/>
      <c r="G26" s="119"/>
      <c r="H26" s="119"/>
      <c r="I26" s="119"/>
      <c r="J26" s="119"/>
      <c r="K26" s="484"/>
      <c r="L26" s="484"/>
      <c r="M26" s="119"/>
      <c r="N26" s="465"/>
      <c r="O26" s="399"/>
      <c r="P26" s="399"/>
      <c r="Q26" s="399"/>
      <c r="R26" s="399"/>
      <c r="S26" s="399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  <row r="27" spans="1:46" s="77" customFormat="1" x14ac:dyDescent="0.5">
      <c r="A27" s="483"/>
      <c r="B27" s="483"/>
      <c r="C27" s="483"/>
      <c r="D27" s="483"/>
      <c r="F27" s="262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x14ac:dyDescent="0.5">
      <c r="A28" s="483"/>
      <c r="B28" s="483"/>
      <c r="C28" s="483"/>
      <c r="D28" s="483"/>
      <c r="F28" s="262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F29" s="262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</sheetData>
  <autoFilter ref="N1:N29"/>
  <mergeCells count="20">
    <mergeCell ref="A1:M1"/>
    <mergeCell ref="A2:M2"/>
    <mergeCell ref="A3:M3"/>
    <mergeCell ref="F4:G4"/>
    <mergeCell ref="E5:E8"/>
    <mergeCell ref="G6:G8"/>
    <mergeCell ref="F5:H5"/>
    <mergeCell ref="I5:I8"/>
    <mergeCell ref="H6:H8"/>
    <mergeCell ref="P5:P8"/>
    <mergeCell ref="Q5:Q8"/>
    <mergeCell ref="A5:A8"/>
    <mergeCell ref="J5:J8"/>
    <mergeCell ref="C5:C8"/>
    <mergeCell ref="B5:B8"/>
    <mergeCell ref="D5:D8"/>
    <mergeCell ref="M5:M8"/>
    <mergeCell ref="K5:K8"/>
    <mergeCell ref="L5:L8"/>
    <mergeCell ref="F6:F8"/>
  </mergeCells>
  <phoneticPr fontId="2" type="noConversion"/>
  <conditionalFormatting sqref="F17:F18">
    <cfRule type="cellIs" dxfId="116" priority="3" stopIfTrue="1" operator="between">
      <formula>2000001</formula>
      <formula>500000000</formula>
    </cfRule>
  </conditionalFormatting>
  <conditionalFormatting sqref="F11:F13">
    <cfRule type="cellIs" dxfId="115" priority="2" stopIfTrue="1" operator="between">
      <formula>2000001</formula>
      <formula>500000000</formula>
    </cfRule>
  </conditionalFormatting>
  <conditionalFormatting sqref="F19">
    <cfRule type="cellIs" dxfId="114" priority="1" stopIfTrue="1" operator="between">
      <formula>2000001</formula>
      <formula>500000000</formula>
    </cfRule>
  </conditionalFormatting>
  <pageMargins left="0.62992125984251968" right="0.27559055118110237" top="0.23622047244094491" bottom="0.23622047244094491" header="0.15748031496062992" footer="0.15748031496062992"/>
  <pageSetup paperSize="9" scale="78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3"/>
  <sheetViews>
    <sheetView zoomScale="90" zoomScaleNormal="9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8.140625" style="486" customWidth="1"/>
    <col min="4" max="4" width="8.42578125" style="486" customWidth="1"/>
    <col min="5" max="5" width="51.140625" style="460" customWidth="1"/>
    <col min="6" max="6" width="16.140625" style="487" customWidth="1"/>
    <col min="7" max="7" width="14" style="488" customWidth="1"/>
    <col min="8" max="8" width="14" style="488" hidden="1" customWidth="1"/>
    <col min="9" max="9" width="32.42578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2.28515625" style="488" customWidth="1"/>
    <col min="14" max="14" width="4.4257812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6</v>
      </c>
      <c r="Q2" s="397">
        <f>SUM(F11:F16)</f>
        <v>5627500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 t="s">
        <v>70</v>
      </c>
      <c r="Q3" s="462" t="s">
        <v>70</v>
      </c>
      <c r="R3" s="463">
        <v>24</v>
      </c>
      <c r="S3" s="462">
        <f>SUM(F23:F23)</f>
        <v>600000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10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51.75" x14ac:dyDescent="0.2">
      <c r="A11" s="261">
        <v>1</v>
      </c>
      <c r="B11" s="472"/>
      <c r="C11" s="498" t="s">
        <v>80</v>
      </c>
      <c r="D11" s="329" t="s">
        <v>10</v>
      </c>
      <c r="E11" s="473" t="s">
        <v>112</v>
      </c>
      <c r="F11" s="281">
        <v>1200000</v>
      </c>
      <c r="G11" s="281"/>
      <c r="H11" s="281"/>
      <c r="I11" s="508" t="str">
        <f>+[5]ภ.4!I11</f>
        <v> ลงนามในสัญญา 11 พ.ย.58 ลง PO วันที่ 27 พ.ย.58 </v>
      </c>
      <c r="J11" s="497"/>
      <c r="K11" s="497"/>
      <c r="L11" s="497"/>
      <c r="M11" s="508" t="str">
        <f>+[5]ภ.4!M11</f>
        <v> ลงนามในสัญญา 11 พ.ย.58 ลง PO วันที่ 27 พ.ย.58 </v>
      </c>
      <c r="N11" s="407">
        <v>1</v>
      </c>
      <c r="O11" s="400"/>
      <c r="P11" s="400"/>
      <c r="Q11" s="400"/>
      <c r="R11" s="400"/>
      <c r="S11" s="400"/>
    </row>
    <row r="12" spans="1:38" s="16" customFormat="1" ht="51.75" x14ac:dyDescent="0.2">
      <c r="A12" s="261">
        <v>2</v>
      </c>
      <c r="B12" s="261"/>
      <c r="C12" s="498" t="s">
        <v>80</v>
      </c>
      <c r="D12" s="329" t="s">
        <v>10</v>
      </c>
      <c r="E12" s="473" t="s">
        <v>113</v>
      </c>
      <c r="F12" s="281">
        <v>1200000</v>
      </c>
      <c r="G12" s="509"/>
      <c r="H12" s="509"/>
      <c r="I12" s="508" t="str">
        <f>+[5]ภ.4!I12</f>
        <v>ลงนามในสัญญา 11 พ.ย.58 ลง PO วันที่ 27 พ.ย.58</v>
      </c>
      <c r="J12" s="497"/>
      <c r="K12" s="497"/>
      <c r="L12" s="497"/>
      <c r="M12" s="508" t="str">
        <f>+[5]ภ.4!M12</f>
        <v> ลงนามในสัญญา 11 พ.ย.58 ลง PO วันที่ 27 พ.ย.58 </v>
      </c>
      <c r="N12" s="407">
        <v>1</v>
      </c>
      <c r="O12" s="400"/>
      <c r="P12" s="400"/>
      <c r="Q12" s="402"/>
      <c r="R12" s="400"/>
      <c r="S12" s="400"/>
    </row>
    <row r="13" spans="1:38" s="16" customFormat="1" ht="51.75" x14ac:dyDescent="0.2">
      <c r="A13" s="261">
        <v>3</v>
      </c>
      <c r="B13" s="472"/>
      <c r="C13" s="498" t="s">
        <v>80</v>
      </c>
      <c r="D13" s="329" t="s">
        <v>10</v>
      </c>
      <c r="E13" s="510" t="s">
        <v>114</v>
      </c>
      <c r="F13" s="508">
        <v>1334000</v>
      </c>
      <c r="G13" s="511"/>
      <c r="H13" s="511"/>
      <c r="I13" s="508" t="str">
        <f>+[5]ภ.4!I13</f>
        <v>ลงนามในสัญญา 11 พ.ย.58 ลง PO วันที่ 27 พ.ย.58</v>
      </c>
      <c r="J13" s="497"/>
      <c r="K13" s="497"/>
      <c r="L13" s="497"/>
      <c r="M13" s="508" t="str">
        <f>+[5]ภ.4!M13</f>
        <v> ลงนามในสัญญา 11 พ.ย.58 ลง PO วันที่ 27 พ.ย.58 </v>
      </c>
      <c r="N13" s="407">
        <v>1</v>
      </c>
      <c r="O13" s="400"/>
      <c r="P13" s="400"/>
      <c r="Q13" s="402"/>
      <c r="R13" s="400"/>
      <c r="S13" s="400"/>
    </row>
    <row r="14" spans="1:38" s="16" customFormat="1" ht="48" customHeight="1" x14ac:dyDescent="0.2">
      <c r="A14" s="261">
        <v>4</v>
      </c>
      <c r="B14" s="472"/>
      <c r="C14" s="498" t="s">
        <v>80</v>
      </c>
      <c r="D14" s="329" t="s">
        <v>10</v>
      </c>
      <c r="E14" s="510" t="s">
        <v>115</v>
      </c>
      <c r="F14" s="508">
        <v>609000</v>
      </c>
      <c r="G14" s="511"/>
      <c r="H14" s="511"/>
      <c r="I14" s="508" t="str">
        <f>+[5]ภ.4!I14</f>
        <v>ลงนามในสัญญา 11 พ.ย.58 ลง PO วันที่ 27 พ.ย.58</v>
      </c>
      <c r="J14" s="497"/>
      <c r="K14" s="497"/>
      <c r="L14" s="497"/>
      <c r="M14" s="508" t="str">
        <f>+[5]ภ.4!M14</f>
        <v> ลงนามในสัญญา 11 พ.ย.58 ลง PO วันที่ 27 พ.ย.58 </v>
      </c>
      <c r="N14" s="407">
        <v>1</v>
      </c>
      <c r="O14" s="400"/>
      <c r="P14" s="400"/>
      <c r="Q14" s="400"/>
      <c r="R14" s="400"/>
      <c r="S14" s="400"/>
    </row>
    <row r="15" spans="1:38" s="16" customFormat="1" ht="51.75" x14ac:dyDescent="0.2">
      <c r="A15" s="261">
        <v>5</v>
      </c>
      <c r="B15" s="472"/>
      <c r="C15" s="498" t="s">
        <v>80</v>
      </c>
      <c r="D15" s="329" t="s">
        <v>10</v>
      </c>
      <c r="E15" s="510" t="s">
        <v>116</v>
      </c>
      <c r="F15" s="508">
        <v>448800</v>
      </c>
      <c r="G15" s="511"/>
      <c r="H15" s="511"/>
      <c r="I15" s="508" t="str">
        <f>+[5]ภ.4!I15</f>
        <v>ลงนามในสัญญา 11 พ.ย.58 ลง PO วันที่ 27 พ.ย.58</v>
      </c>
      <c r="J15" s="497"/>
      <c r="K15" s="497"/>
      <c r="L15" s="497"/>
      <c r="M15" s="508" t="str">
        <f>+[5]ภ.4!M15</f>
        <v> ลงนามในสัญญา 11 พ.ย.58 ลง PO วันที่ 27 พ.ย.58 </v>
      </c>
      <c r="N15" s="407">
        <v>1</v>
      </c>
      <c r="O15" s="400"/>
      <c r="P15" s="400"/>
      <c r="Q15" s="400"/>
      <c r="R15" s="400"/>
      <c r="S15" s="400"/>
    </row>
    <row r="16" spans="1:38" s="16" customFormat="1" ht="48" customHeight="1" x14ac:dyDescent="0.2">
      <c r="A16" s="261">
        <v>6</v>
      </c>
      <c r="B16" s="472"/>
      <c r="C16" s="498" t="s">
        <v>80</v>
      </c>
      <c r="D16" s="329" t="s">
        <v>10</v>
      </c>
      <c r="E16" s="510" t="s">
        <v>117</v>
      </c>
      <c r="F16" s="508">
        <v>835700</v>
      </c>
      <c r="G16" s="511"/>
      <c r="H16" s="511"/>
      <c r="I16" s="508" t="str">
        <f>+[5]ภ.4!I16</f>
        <v>ลงนามในสัญญา 11 พ.ย.58 ลง PO วันที่ 27 พ.ย.58</v>
      </c>
      <c r="J16" s="497"/>
      <c r="K16" s="497"/>
      <c r="L16" s="497"/>
      <c r="M16" s="508" t="str">
        <f>+[5]ภ.4!M16</f>
        <v> ลงนามในสัญญา 11 พ.ย.58 ลง PO วันที่ 27 พ.ย.58 </v>
      </c>
      <c r="N16" s="407">
        <v>1</v>
      </c>
      <c r="O16" s="400"/>
      <c r="P16" s="400"/>
      <c r="Q16" s="400"/>
      <c r="R16" s="400"/>
      <c r="S16" s="400"/>
    </row>
    <row r="17" spans="1:46" s="16" customFormat="1" ht="109.5" customHeight="1" x14ac:dyDescent="0.2">
      <c r="A17" s="261">
        <v>7</v>
      </c>
      <c r="B17" s="329" t="s">
        <v>10</v>
      </c>
      <c r="C17" s="475" t="s">
        <v>238</v>
      </c>
      <c r="D17" s="329" t="s">
        <v>10</v>
      </c>
      <c r="E17" s="473" t="s">
        <v>661</v>
      </c>
      <c r="F17" s="508">
        <v>66000</v>
      </c>
      <c r="G17" s="511"/>
      <c r="H17" s="511"/>
      <c r="I17" s="281">
        <f>+[5]ภ.4!I17</f>
        <v>0</v>
      </c>
      <c r="J17" s="31"/>
      <c r="K17" s="15"/>
      <c r="L17" s="15"/>
      <c r="M17" s="281">
        <f>+[5]ภ.4!M17</f>
        <v>0</v>
      </c>
      <c r="N17" s="407"/>
      <c r="O17" s="400"/>
      <c r="P17" s="400"/>
      <c r="Q17" s="400"/>
      <c r="R17" s="400"/>
      <c r="S17" s="400"/>
    </row>
    <row r="18" spans="1:46" s="16" customFormat="1" ht="110.25" customHeight="1" x14ac:dyDescent="0.2">
      <c r="A18" s="261">
        <v>8</v>
      </c>
      <c r="B18" s="329" t="s">
        <v>10</v>
      </c>
      <c r="C18" s="475" t="s">
        <v>238</v>
      </c>
      <c r="D18" s="329" t="s">
        <v>10</v>
      </c>
      <c r="E18" s="473" t="s">
        <v>662</v>
      </c>
      <c r="F18" s="508">
        <v>244800</v>
      </c>
      <c r="G18" s="511"/>
      <c r="H18" s="511"/>
      <c r="I18" s="281">
        <f>+[5]ภ.4!I18</f>
        <v>0</v>
      </c>
      <c r="J18" s="31"/>
      <c r="K18" s="15"/>
      <c r="L18" s="15"/>
      <c r="M18" s="281">
        <f>+[5]ภ.4!M18</f>
        <v>0</v>
      </c>
      <c r="N18" s="407"/>
      <c r="O18" s="400"/>
      <c r="P18" s="400"/>
      <c r="Q18" s="400"/>
      <c r="R18" s="400"/>
      <c r="S18" s="400"/>
    </row>
    <row r="19" spans="1:46" s="16" customFormat="1" ht="110.25" customHeight="1" x14ac:dyDescent="0.2">
      <c r="A19" s="261">
        <v>9</v>
      </c>
      <c r="B19" s="329" t="s">
        <v>10</v>
      </c>
      <c r="C19" s="475" t="s">
        <v>238</v>
      </c>
      <c r="D19" s="329" t="s">
        <v>10</v>
      </c>
      <c r="E19" s="473" t="s">
        <v>663</v>
      </c>
      <c r="F19" s="508">
        <v>276000</v>
      </c>
      <c r="G19" s="511"/>
      <c r="H19" s="511"/>
      <c r="I19" s="281">
        <f>+[5]ภ.4!I19</f>
        <v>0</v>
      </c>
      <c r="J19" s="31"/>
      <c r="K19" s="15"/>
      <c r="L19" s="15"/>
      <c r="M19" s="281">
        <f>+[5]ภ.4!M19</f>
        <v>0</v>
      </c>
      <c r="N19" s="407"/>
      <c r="O19" s="400"/>
      <c r="P19" s="400"/>
      <c r="Q19" s="400"/>
      <c r="R19" s="400"/>
      <c r="S19" s="400"/>
    </row>
    <row r="20" spans="1:46" s="16" customFormat="1" ht="28.5" customHeight="1" x14ac:dyDescent="0.2">
      <c r="A20" s="14"/>
      <c r="B20" s="472"/>
      <c r="C20" s="261"/>
      <c r="D20" s="472"/>
      <c r="E20" s="477"/>
      <c r="F20" s="497"/>
      <c r="G20" s="30"/>
      <c r="H20" s="30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2" customFormat="1" x14ac:dyDescent="0.5">
      <c r="A21" s="232">
        <f>+A19</f>
        <v>9</v>
      </c>
      <c r="B21" s="232"/>
      <c r="C21" s="232"/>
      <c r="D21" s="232"/>
      <c r="E21" s="233" t="s">
        <v>58</v>
      </c>
      <c r="F21" s="249">
        <f>SUM(F11:F20)</f>
        <v>6214300</v>
      </c>
      <c r="G21" s="234">
        <f>SUM(G13:G13)</f>
        <v>0</v>
      </c>
      <c r="H21" s="234">
        <f>SUM(H13:H13)</f>
        <v>0</v>
      </c>
      <c r="I21" s="249"/>
      <c r="J21" s="249">
        <f>SUM(J13:J13)</f>
        <v>0</v>
      </c>
      <c r="K21" s="249">
        <f>SUM(K13:K13)</f>
        <v>0</v>
      </c>
      <c r="L21" s="249">
        <f>SUM(L13:L13)</f>
        <v>0</v>
      </c>
      <c r="M21" s="249"/>
      <c r="N21" s="406"/>
      <c r="O21" s="397">
        <f>+F21+G21</f>
        <v>6214300</v>
      </c>
      <c r="P21" s="398"/>
      <c r="Q21" s="398"/>
      <c r="R21" s="399"/>
      <c r="S21" s="399"/>
    </row>
    <row r="22" spans="1:46" s="16" customFormat="1" x14ac:dyDescent="0.2">
      <c r="A22" s="14"/>
      <c r="B22" s="14"/>
      <c r="C22" s="14"/>
      <c r="D22" s="14"/>
      <c r="E22" s="27" t="s">
        <v>59</v>
      </c>
      <c r="F22" s="31"/>
      <c r="G22" s="31"/>
      <c r="H22" s="31"/>
      <c r="I22" s="31"/>
      <c r="J22" s="31"/>
      <c r="K22" s="15"/>
      <c r="L22" s="15"/>
      <c r="M22" s="31"/>
      <c r="N22" s="407"/>
      <c r="O22" s="400"/>
      <c r="P22" s="400"/>
      <c r="Q22" s="400"/>
      <c r="R22" s="400"/>
      <c r="S22" s="400"/>
    </row>
    <row r="23" spans="1:46" s="16" customFormat="1" ht="90" x14ac:dyDescent="0.2">
      <c r="A23" s="261">
        <v>1</v>
      </c>
      <c r="B23" s="515" t="s">
        <v>10</v>
      </c>
      <c r="C23" s="475" t="s">
        <v>660</v>
      </c>
      <c r="D23" s="515" t="s">
        <v>10</v>
      </c>
      <c r="E23" s="473" t="s">
        <v>664</v>
      </c>
      <c r="F23" s="509">
        <v>600000</v>
      </c>
      <c r="G23" s="511"/>
      <c r="H23" s="511"/>
      <c r="I23" s="499">
        <f>+[5]ภ.4!I23</f>
        <v>0</v>
      </c>
      <c r="J23" s="513"/>
      <c r="K23" s="15"/>
      <c r="L23" s="15"/>
      <c r="M23" s="499">
        <f>+[5]ภ.4!M23</f>
        <v>0</v>
      </c>
      <c r="N23" s="407">
        <v>2</v>
      </c>
      <c r="O23" s="400"/>
      <c r="P23" s="400"/>
      <c r="Q23" s="400"/>
      <c r="R23" s="400"/>
      <c r="S23" s="400"/>
    </row>
    <row r="24" spans="1:46" s="16" customFormat="1" ht="24" customHeight="1" x14ac:dyDescent="0.8">
      <c r="A24" s="14"/>
      <c r="B24" s="14"/>
      <c r="C24" s="14"/>
      <c r="D24" s="14"/>
      <c r="E24" s="477"/>
      <c r="F24" s="15"/>
      <c r="G24" s="30"/>
      <c r="H24" s="30"/>
      <c r="I24" s="31"/>
      <c r="J24" s="514" t="s">
        <v>118</v>
      </c>
      <c r="K24" s="15"/>
      <c r="L24" s="15"/>
      <c r="M24" s="31"/>
      <c r="N24" s="407"/>
      <c r="O24" s="400"/>
      <c r="P24" s="400"/>
      <c r="Q24" s="400"/>
      <c r="R24" s="400"/>
      <c r="S24" s="400"/>
    </row>
    <row r="25" spans="1:46" s="16" customFormat="1" ht="25.5" customHeight="1" thickBot="1" x14ac:dyDescent="0.85">
      <c r="A25" s="235">
        <f>+A23</f>
        <v>1</v>
      </c>
      <c r="B25" s="235"/>
      <c r="C25" s="235"/>
      <c r="D25" s="235"/>
      <c r="E25" s="290" t="s">
        <v>60</v>
      </c>
      <c r="F25" s="298">
        <f>SUM(F23:F24)</f>
        <v>600000</v>
      </c>
      <c r="G25" s="237">
        <f>SUM(G23:G24)</f>
        <v>0</v>
      </c>
      <c r="H25" s="237">
        <f>SUM(H23:H24)</f>
        <v>0</v>
      </c>
      <c r="I25" s="250"/>
      <c r="J25" s="514" t="s">
        <v>119</v>
      </c>
      <c r="K25" s="250">
        <f>SUM(K24:K24)</f>
        <v>0</v>
      </c>
      <c r="L25" s="250">
        <f>SUM(L24:L24)</f>
        <v>0</v>
      </c>
      <c r="M25" s="250"/>
      <c r="N25" s="405"/>
      <c r="O25" s="402">
        <f>+F25+G25</f>
        <v>600000</v>
      </c>
      <c r="P25" s="398"/>
      <c r="Q25" s="398"/>
      <c r="R25" s="400"/>
      <c r="S25" s="400"/>
    </row>
    <row r="26" spans="1:46" s="480" customFormat="1" ht="22.5" thickBot="1" x14ac:dyDescent="0.55000000000000004">
      <c r="A26" s="238">
        <f>+A21+A25</f>
        <v>10</v>
      </c>
      <c r="B26" s="239"/>
      <c r="C26" s="239"/>
      <c r="D26" s="239"/>
      <c r="E26" s="239" t="s">
        <v>120</v>
      </c>
      <c r="F26" s="299">
        <f>F21+F25</f>
        <v>6814300</v>
      </c>
      <c r="G26" s="289">
        <f>+G21+G25</f>
        <v>0</v>
      </c>
      <c r="H26" s="289">
        <f>+H21+H25</f>
        <v>0</v>
      </c>
      <c r="I26" s="240"/>
      <c r="J26" s="240" t="e">
        <f>J21+J25</f>
        <v>#VALUE!</v>
      </c>
      <c r="K26" s="240">
        <f>K21+K25</f>
        <v>0</v>
      </c>
      <c r="L26" s="240">
        <f>L21+L25</f>
        <v>0</v>
      </c>
      <c r="M26" s="240"/>
      <c r="N26" s="408"/>
      <c r="O26" s="397">
        <f>+O21+O25</f>
        <v>6814300</v>
      </c>
      <c r="P26" s="479"/>
      <c r="Q26" s="479"/>
      <c r="R26" s="399"/>
      <c r="S26" s="399"/>
      <c r="T26" s="12"/>
      <c r="U26" s="12"/>
      <c r="V26" s="12"/>
      <c r="W26" s="12"/>
      <c r="X26" s="12"/>
      <c r="Y26" s="12"/>
      <c r="Z26" s="12"/>
      <c r="AA26" s="12"/>
    </row>
    <row r="27" spans="1:46" s="16" customFormat="1" x14ac:dyDescent="0.2">
      <c r="A27" s="481"/>
      <c r="B27" s="481"/>
      <c r="C27" s="481"/>
      <c r="D27" s="481"/>
      <c r="E27" s="482"/>
      <c r="F27" s="376"/>
      <c r="G27" s="375"/>
      <c r="H27" s="375"/>
      <c r="I27" s="375"/>
      <c r="J27" s="375"/>
      <c r="K27" s="376"/>
      <c r="L27" s="376"/>
      <c r="M27" s="375"/>
      <c r="N27" s="407"/>
      <c r="O27" s="400"/>
      <c r="P27" s="400"/>
      <c r="Q27" s="400"/>
      <c r="R27" s="400"/>
      <c r="S27" s="400"/>
    </row>
    <row r="28" spans="1:46" s="16" customFormat="1" x14ac:dyDescent="0.5">
      <c r="A28" s="481"/>
      <c r="B28" s="481"/>
      <c r="C28" s="481"/>
      <c r="D28" s="481"/>
      <c r="E28" s="482"/>
      <c r="F28" s="252"/>
      <c r="G28" s="375"/>
      <c r="H28" s="375"/>
      <c r="I28" s="375"/>
      <c r="J28" s="375"/>
      <c r="K28" s="376"/>
      <c r="L28" s="376"/>
      <c r="M28" s="375"/>
      <c r="N28" s="407"/>
      <c r="O28" s="400"/>
      <c r="P28" s="400"/>
      <c r="Q28" s="400"/>
      <c r="R28" s="400"/>
      <c r="S28" s="400"/>
    </row>
    <row r="30" spans="1:46" s="77" customFormat="1" x14ac:dyDescent="0.5">
      <c r="A30" s="483"/>
      <c r="B30" s="483"/>
      <c r="C30" s="483"/>
      <c r="D30" s="483"/>
      <c r="F30" s="262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x14ac:dyDescent="0.5">
      <c r="A31" s="483"/>
      <c r="B31" s="483"/>
      <c r="C31" s="483"/>
      <c r="D31" s="483"/>
      <c r="F31" s="262"/>
      <c r="G31" s="119"/>
      <c r="H31" s="119"/>
      <c r="I31" s="119"/>
      <c r="J31" s="119"/>
      <c r="K31" s="484"/>
      <c r="L31" s="484"/>
      <c r="M31" s="119"/>
      <c r="N31" s="465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F32" s="262"/>
      <c r="G32" s="119"/>
      <c r="H32" s="119"/>
      <c r="I32" s="119"/>
      <c r="J32" s="119"/>
      <c r="K32" s="484"/>
      <c r="L32" s="484"/>
      <c r="M32" s="119"/>
      <c r="N32" s="465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F33" s="262"/>
      <c r="G33" s="119"/>
      <c r="H33" s="119"/>
      <c r="I33" s="119"/>
      <c r="J33" s="119"/>
      <c r="K33" s="484"/>
      <c r="L33" s="484"/>
      <c r="M33" s="119"/>
      <c r="N33" s="465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</sheetData>
  <autoFilter ref="N1:N33"/>
  <mergeCells count="20">
    <mergeCell ref="Q5:Q8"/>
    <mergeCell ref="A5:A8"/>
    <mergeCell ref="B5:B8"/>
    <mergeCell ref="D5:D8"/>
    <mergeCell ref="F4:G4"/>
    <mergeCell ref="G6:G8"/>
    <mergeCell ref="P5:P8"/>
    <mergeCell ref="I5:I8"/>
    <mergeCell ref="F5:H5"/>
    <mergeCell ref="H6:H8"/>
    <mergeCell ref="M5:M8"/>
    <mergeCell ref="A1:M1"/>
    <mergeCell ref="A2:M2"/>
    <mergeCell ref="A3:M3"/>
    <mergeCell ref="L5:L8"/>
    <mergeCell ref="F6:F8"/>
    <mergeCell ref="J5:J8"/>
    <mergeCell ref="C5:C8"/>
    <mergeCell ref="E5:E8"/>
    <mergeCell ref="K5:K8"/>
  </mergeCells>
  <phoneticPr fontId="2" type="noConversion"/>
  <conditionalFormatting sqref="F11:F16">
    <cfRule type="cellIs" dxfId="113" priority="3" stopIfTrue="1" operator="between">
      <formula>2000001</formula>
      <formula>500000000</formula>
    </cfRule>
  </conditionalFormatting>
  <conditionalFormatting sqref="F17:F19">
    <cfRule type="cellIs" dxfId="112" priority="2" stopIfTrue="1" operator="between">
      <formula>2000001</formula>
      <formula>500000000</formula>
    </cfRule>
  </conditionalFormatting>
  <conditionalFormatting sqref="F23">
    <cfRule type="cellIs" dxfId="111" priority="1" stopIfTrue="1" operator="between">
      <formula>2000001</formula>
      <formula>500000000</formula>
    </cfRule>
  </conditionalFormatting>
  <pageMargins left="0.47244094488188981" right="0.59055118110236227" top="0.39370078740157483" bottom="0.19685039370078741" header="0.51181102362204722" footer="0.51181102362204722"/>
  <pageSetup paperSize="9" scale="78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4"/>
  <sheetViews>
    <sheetView topLeftCell="A7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5.5703125" style="487" bestFit="1" customWidth="1"/>
    <col min="7" max="7" width="13.5703125" style="488" customWidth="1"/>
    <col min="8" max="8" width="14.85546875" style="488" hidden="1" customWidth="1"/>
    <col min="9" max="9" width="38.140625" style="488" customWidth="1"/>
    <col min="10" max="10" width="13.140625" style="488" hidden="1" customWidth="1"/>
    <col min="11" max="11" width="12.140625" style="464" hidden="1" customWidth="1"/>
    <col min="12" max="12" width="4.85546875" style="464" hidden="1" customWidth="1"/>
    <col min="13" max="13" width="40.42578125" style="488" customWidth="1"/>
    <col min="14" max="14" width="4.140625" style="465" customWidth="1"/>
    <col min="15" max="15" width="19.5703125" style="399" bestFit="1" customWidth="1"/>
    <col min="16" max="16" width="13.85546875" style="399" bestFit="1" customWidth="1"/>
    <col min="17" max="17" width="13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11</v>
      </c>
      <c r="Q2" s="397">
        <f>SUM(F13:F23)</f>
        <v>4328900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>
        <v>2</v>
      </c>
      <c r="Q3" s="462">
        <f>+F11+F12</f>
        <v>24274000</v>
      </c>
      <c r="R3" s="463">
        <v>19</v>
      </c>
      <c r="S3" s="462">
        <f>SUM(F30:F33)</f>
        <v>129048200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64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65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65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66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11</v>
      </c>
      <c r="F9" s="247"/>
      <c r="G9" s="100"/>
      <c r="H9" s="100"/>
      <c r="I9" s="100"/>
      <c r="J9" s="264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263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71.25" customHeight="1" x14ac:dyDescent="0.2">
      <c r="A11" s="425">
        <v>1</v>
      </c>
      <c r="B11" s="425"/>
      <c r="C11" s="494" t="s">
        <v>76</v>
      </c>
      <c r="D11" s="425" t="s">
        <v>11</v>
      </c>
      <c r="E11" s="470" t="s">
        <v>121</v>
      </c>
      <c r="F11" s="471">
        <v>19200000</v>
      </c>
      <c r="G11" s="426"/>
      <c r="H11" s="426"/>
      <c r="I11" s="505" t="str">
        <f>+[6]ภ.5!I11</f>
        <v xml:space="preserve"> คณะกรรมการอยู่ระหว่างทบทวนคุณลักษณะเฉพาะคาดว่าก่อหนี้ผูกพันได้ ภายในไตรมาส 1/2559 </v>
      </c>
      <c r="J11" s="263"/>
      <c r="K11" s="15"/>
      <c r="L11" s="15"/>
      <c r="M11" s="426" t="str">
        <f>+[6]ภ.5!M11</f>
        <v xml:space="preserve"> คณะกรรมการอยู่ระหว่างทบทวนคุณลักษณะเฉพาะคาดว่าก่อหนี้ผูกพันได้ ภายในไตรมาส 1/2559 </v>
      </c>
      <c r="N11" s="407">
        <v>2</v>
      </c>
      <c r="O11" s="400"/>
      <c r="P11" s="400"/>
      <c r="Q11" s="400"/>
      <c r="R11" s="400"/>
      <c r="S11" s="400"/>
    </row>
    <row r="12" spans="1:38" s="16" customFormat="1" ht="51.75" x14ac:dyDescent="0.2">
      <c r="A12" s="425">
        <v>2</v>
      </c>
      <c r="B12" s="425"/>
      <c r="C12" s="494" t="s">
        <v>76</v>
      </c>
      <c r="D12" s="425" t="s">
        <v>11</v>
      </c>
      <c r="E12" s="470" t="s">
        <v>122</v>
      </c>
      <c r="F12" s="471">
        <v>5074000</v>
      </c>
      <c r="G12" s="426"/>
      <c r="H12" s="426"/>
      <c r="I12" s="426" t="str">
        <f>+[6]ภ.5!I12</f>
        <v xml:space="preserve">กำหนดราคากลาง
</v>
      </c>
      <c r="J12" s="263"/>
      <c r="K12" s="15"/>
      <c r="L12" s="15"/>
      <c r="M12" s="426" t="str">
        <f>+[6]ภ.5!M12</f>
        <v xml:space="preserve">กำหนดราคากลาง
</v>
      </c>
      <c r="N12" s="407">
        <v>2</v>
      </c>
      <c r="O12" s="400"/>
      <c r="P12" s="400"/>
      <c r="Q12" s="400"/>
      <c r="R12" s="400"/>
      <c r="S12" s="400"/>
    </row>
    <row r="13" spans="1:38" s="16" customFormat="1" ht="65.25" x14ac:dyDescent="0.2">
      <c r="A13" s="261">
        <v>3</v>
      </c>
      <c r="B13" s="261"/>
      <c r="C13" s="475" t="s">
        <v>80</v>
      </c>
      <c r="D13" s="261" t="s">
        <v>11</v>
      </c>
      <c r="E13" s="473" t="s">
        <v>123</v>
      </c>
      <c r="F13" s="474">
        <v>900000</v>
      </c>
      <c r="G13" s="281"/>
      <c r="H13" s="281"/>
      <c r="I13" s="281" t="str">
        <f>+[6]ภ.5!I13</f>
        <v>คณะกรรมการอยู่ระหว่างทบทวนคุณลักษณะเฉพาะคาดว่าก่อหนี้ผูกพันได้ ภายในไตรมาส 1/2559</v>
      </c>
      <c r="J13" s="263"/>
      <c r="K13" s="15"/>
      <c r="L13" s="15"/>
      <c r="M13" s="281" t="str">
        <f>+[6]ภ.5!M13</f>
        <v>คณะกรรมการอยู่ระหว่างทบทวนคุณลักษณะเฉพาะคาดว่าก่อหนี้ผูกพันได้ ภายในไตรมาส 1/2559</v>
      </c>
      <c r="N13" s="407">
        <v>1</v>
      </c>
      <c r="O13" s="400"/>
      <c r="P13" s="400"/>
      <c r="Q13" s="400"/>
      <c r="R13" s="400"/>
      <c r="S13" s="400"/>
    </row>
    <row r="14" spans="1:38" s="16" customFormat="1" ht="65.25" x14ac:dyDescent="0.2">
      <c r="A14" s="261">
        <v>4</v>
      </c>
      <c r="B14" s="261"/>
      <c r="C14" s="475" t="s">
        <v>80</v>
      </c>
      <c r="D14" s="261" t="s">
        <v>11</v>
      </c>
      <c r="E14" s="473" t="s">
        <v>124</v>
      </c>
      <c r="F14" s="474">
        <v>735000</v>
      </c>
      <c r="G14" s="281"/>
      <c r="H14" s="281"/>
      <c r="I14" s="281" t="str">
        <f>+[6]ภ.5!I14</f>
        <v>คณะกรรมการอยู่ระหว่างทบทวนคุณลักษณะเฉพาะคาดว่าก่อหนี้ผูกพันได้ ภายในไตรมาส 1/2559</v>
      </c>
      <c r="J14" s="263"/>
      <c r="K14" s="15"/>
      <c r="L14" s="15"/>
      <c r="M14" s="281" t="str">
        <f>+[6]ภ.5!M14</f>
        <v>คณะกรรมการอยู่ระหว่างทบทวนคุณลักษณะเฉพาะคาดว่าก่อหนี้ผูกพันได้ ภายในไตรมาส 1/2559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261"/>
      <c r="C15" s="475" t="s">
        <v>80</v>
      </c>
      <c r="D15" s="261" t="s">
        <v>11</v>
      </c>
      <c r="E15" s="473" t="s">
        <v>125</v>
      </c>
      <c r="F15" s="474">
        <v>36000</v>
      </c>
      <c r="G15" s="281"/>
      <c r="H15" s="281"/>
      <c r="I15" s="281" t="str">
        <f>+[6]ภ.5!I15</f>
        <v>คณะกรรมการอยู่ระหว่างทบทวนคุณลักษณะเฉพาะคาดว่าก่อหนี้ผูกพันได้ ภายในไตรมาส 1/2559</v>
      </c>
      <c r="J15" s="263"/>
      <c r="K15" s="15"/>
      <c r="L15" s="15"/>
      <c r="M15" s="281" t="str">
        <f>+[6]ภ.5!M15</f>
        <v>คณะกรรมการอยู่ระหว่างทบทวนคุณลักษณะเฉพาะคาดว่าก่อหนี้ผูกพันได้ ภายในไตรมาส 1/2559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475" t="s">
        <v>80</v>
      </c>
      <c r="D16" s="261" t="s">
        <v>11</v>
      </c>
      <c r="E16" s="473" t="s">
        <v>126</v>
      </c>
      <c r="F16" s="474">
        <v>930000</v>
      </c>
      <c r="G16" s="281"/>
      <c r="H16" s="281"/>
      <c r="I16" s="281" t="str">
        <f>+[6]ภ.5!I16</f>
        <v>คณะกรรมการอยู่ระหว่างทบทวนคุณลักษณะเฉพาะคาดว่าก่อหนี้ผูกพันได้ ภายในไตรมาส 1/2559</v>
      </c>
      <c r="J16" s="263"/>
      <c r="K16" s="15"/>
      <c r="L16" s="15"/>
      <c r="M16" s="281" t="str">
        <f>+[6]ภ.5!M16</f>
        <v>คณะกรรมการอยู่ระหว่างทบทวนคุณลักษณะเฉพาะคาดว่าก่อหนี้ผูกพันได้ ภายในไตรมาส 1/2559</v>
      </c>
      <c r="N16" s="407">
        <v>1</v>
      </c>
      <c r="O16" s="400"/>
      <c r="P16" s="400"/>
      <c r="Q16" s="400"/>
      <c r="R16" s="400"/>
      <c r="S16" s="400"/>
    </row>
    <row r="17" spans="1:19" s="16" customFormat="1" ht="65.25" x14ac:dyDescent="0.2">
      <c r="A17" s="261">
        <v>7</v>
      </c>
      <c r="B17" s="261"/>
      <c r="C17" s="475" t="s">
        <v>80</v>
      </c>
      <c r="D17" s="261" t="s">
        <v>11</v>
      </c>
      <c r="E17" s="473" t="s">
        <v>127</v>
      </c>
      <c r="F17" s="474">
        <v>775000</v>
      </c>
      <c r="G17" s="281"/>
      <c r="H17" s="281"/>
      <c r="I17" s="281" t="str">
        <f>+[6]ภ.5!I17</f>
        <v>คณะกรรมการอยู่ระหว่างทบทวนคุณลักษณะเฉพาะคาดว่าก่อหนี้ผูกพันได้ ภายในไตรมาส 1/2559</v>
      </c>
      <c r="J17" s="263"/>
      <c r="K17" s="15"/>
      <c r="L17" s="15"/>
      <c r="M17" s="281" t="str">
        <f>+[6]ภ.5!M17</f>
        <v>คณะกรรมการอยู่ระหว่างทบทวนคุณลักษณะเฉพาะคาดว่าก่อหนี้ผูกพันได้ ภายในไตรมาส 1/2559</v>
      </c>
      <c r="N17" s="407">
        <v>1</v>
      </c>
      <c r="O17" s="400"/>
      <c r="P17" s="400"/>
      <c r="Q17" s="400"/>
      <c r="R17" s="400"/>
      <c r="S17" s="400"/>
    </row>
    <row r="18" spans="1:19" s="16" customFormat="1" ht="65.25" x14ac:dyDescent="0.2">
      <c r="A18" s="261">
        <v>8</v>
      </c>
      <c r="B18" s="261"/>
      <c r="C18" s="475" t="s">
        <v>80</v>
      </c>
      <c r="D18" s="261" t="s">
        <v>11</v>
      </c>
      <c r="E18" s="473" t="s">
        <v>128</v>
      </c>
      <c r="F18" s="474">
        <v>115000</v>
      </c>
      <c r="G18" s="281"/>
      <c r="H18" s="281"/>
      <c r="I18" s="281" t="str">
        <f>+[6]ภ.5!I18</f>
        <v>คณะกรรมการอยู่ระหว่างทบทวนคุณลักษณะเฉพาะคาดว่าก่อหนี้ผูกพันได้ ภายในไตรมาส 1/2559</v>
      </c>
      <c r="J18" s="263"/>
      <c r="K18" s="15"/>
      <c r="L18" s="15"/>
      <c r="M18" s="281" t="str">
        <f>+[6]ภ.5!M18</f>
        <v>คณะกรรมการอยู่ระหว่างทบทวนคุณลักษณะเฉพาะคาดว่าก่อหนี้ผูกพันได้ ภายในไตรมาส 1/2559</v>
      </c>
      <c r="N18" s="407">
        <v>1</v>
      </c>
      <c r="O18" s="400"/>
      <c r="P18" s="400"/>
      <c r="Q18" s="400"/>
      <c r="R18" s="400"/>
      <c r="S18" s="400"/>
    </row>
    <row r="19" spans="1:19" s="16" customFormat="1" ht="65.25" x14ac:dyDescent="0.2">
      <c r="A19" s="261">
        <v>9</v>
      </c>
      <c r="B19" s="261"/>
      <c r="C19" s="475" t="s">
        <v>80</v>
      </c>
      <c r="D19" s="261" t="s">
        <v>11</v>
      </c>
      <c r="E19" s="473" t="s">
        <v>129</v>
      </c>
      <c r="F19" s="474">
        <v>23000</v>
      </c>
      <c r="G19" s="281"/>
      <c r="H19" s="281"/>
      <c r="I19" s="281" t="str">
        <f>+[6]ภ.5!I19</f>
        <v>คณะกรรมการอยู่ระหว่างทบทวนคุณลักษณะเฉพาะคาดว่าก่อหนี้ผูกพันได้ ภายในไตรมาส 1/2559</v>
      </c>
      <c r="J19" s="263"/>
      <c r="K19" s="15"/>
      <c r="L19" s="15"/>
      <c r="M19" s="281" t="str">
        <f>+[6]ภ.5!M19</f>
        <v>คณะกรรมการอยู่ระหว่างทบทวนคุณลักษณะเฉพาะคาดว่าก่อหนี้ผูกพันได้ ภายในไตรมาส 1/2559</v>
      </c>
      <c r="N19" s="407">
        <v>1</v>
      </c>
      <c r="O19" s="400"/>
      <c r="P19" s="400"/>
      <c r="Q19" s="400"/>
      <c r="R19" s="400"/>
      <c r="S19" s="400"/>
    </row>
    <row r="20" spans="1:19" s="16" customFormat="1" ht="65.25" x14ac:dyDescent="0.2">
      <c r="A20" s="261">
        <v>10</v>
      </c>
      <c r="B20" s="261"/>
      <c r="C20" s="475" t="s">
        <v>80</v>
      </c>
      <c r="D20" s="261" t="s">
        <v>11</v>
      </c>
      <c r="E20" s="473" t="s">
        <v>130</v>
      </c>
      <c r="F20" s="474">
        <v>30000</v>
      </c>
      <c r="G20" s="281"/>
      <c r="H20" s="281"/>
      <c r="I20" s="281" t="str">
        <f>+[6]ภ.5!I20</f>
        <v>คณะกรรมการอยู่ระหว่างทบทวนคุณลักษณะเฉพาะคาดว่าก่อหนี้ผูกพันได้ ภายในไตรมาส 1/2559</v>
      </c>
      <c r="J20" s="263"/>
      <c r="K20" s="15"/>
      <c r="L20" s="15"/>
      <c r="M20" s="281" t="str">
        <f>+[6]ภ.5!M20</f>
        <v>คณะกรรมการอยู่ระหว่างทบทวนคุณลักษณะเฉพาะคาดว่าก่อหนี้ผูกพันได้ ภายในไตรมาส 1/2559</v>
      </c>
      <c r="N20" s="407">
        <v>1</v>
      </c>
      <c r="O20" s="400"/>
      <c r="P20" s="400"/>
      <c r="Q20" s="400"/>
      <c r="R20" s="400"/>
      <c r="S20" s="400"/>
    </row>
    <row r="21" spans="1:19" s="16" customFormat="1" ht="65.25" x14ac:dyDescent="0.2">
      <c r="A21" s="261">
        <v>11</v>
      </c>
      <c r="B21" s="261"/>
      <c r="C21" s="475" t="s">
        <v>80</v>
      </c>
      <c r="D21" s="261" t="s">
        <v>11</v>
      </c>
      <c r="E21" s="473" t="s">
        <v>131</v>
      </c>
      <c r="F21" s="474">
        <v>85000</v>
      </c>
      <c r="G21" s="281"/>
      <c r="H21" s="281"/>
      <c r="I21" s="281" t="str">
        <f>+[6]ภ.5!I21</f>
        <v> คณะกรรมการอยู่ระหว่างทบทวนคุณลักษณะเฉพาะคาดว่าก่อหนี้ผูกพันได้ ภายในไตรมาส 1/2559 </v>
      </c>
      <c r="J21" s="263"/>
      <c r="K21" s="15"/>
      <c r="L21" s="15"/>
      <c r="M21" s="281" t="str">
        <f>+[6]ภ.5!M21</f>
        <v> คณะกรรมการอยู่ระหว่างทบทวนคุณลักษณะเฉพาะคาดว่าก่อหนี้ผูกพันได้ ภายในไตรมาส 1/2559 </v>
      </c>
      <c r="N21" s="407">
        <v>1</v>
      </c>
      <c r="O21" s="400"/>
      <c r="P21" s="400"/>
      <c r="Q21" s="400"/>
      <c r="R21" s="400"/>
      <c r="S21" s="400"/>
    </row>
    <row r="22" spans="1:19" s="16" customFormat="1" ht="65.25" x14ac:dyDescent="0.2">
      <c r="A22" s="261">
        <v>12</v>
      </c>
      <c r="B22" s="261"/>
      <c r="C22" s="475" t="s">
        <v>80</v>
      </c>
      <c r="D22" s="261" t="s">
        <v>11</v>
      </c>
      <c r="E22" s="473" t="s">
        <v>132</v>
      </c>
      <c r="F22" s="474">
        <v>603900</v>
      </c>
      <c r="G22" s="281"/>
      <c r="H22" s="281"/>
      <c r="I22" s="281" t="str">
        <f>+[6]ภ.5!I22</f>
        <v>คณะกรรมการอยู่ระหว่างทบทวนคุณลักษณะเฉพาะคาดว่าก่อหนี้ผูกพันได้ ภายในไตรมาส 1/2559</v>
      </c>
      <c r="J22" s="263"/>
      <c r="K22" s="15"/>
      <c r="L22" s="15"/>
      <c r="M22" s="281" t="str">
        <f>+[6]ภ.5!M22</f>
        <v>คณะกรรมการอยู่ระหว่างทบทวนคุณลักษณะเฉพาะคาดว่าก่อหนี้ผูกพันได้ ภายในไตรมาส 1/2559</v>
      </c>
      <c r="N22" s="407">
        <v>1</v>
      </c>
      <c r="O22" s="400"/>
      <c r="P22" s="400"/>
      <c r="Q22" s="400"/>
      <c r="R22" s="400"/>
      <c r="S22" s="400"/>
    </row>
    <row r="23" spans="1:19" s="16" customFormat="1" ht="65.25" x14ac:dyDescent="0.2">
      <c r="A23" s="261">
        <v>13</v>
      </c>
      <c r="B23" s="261"/>
      <c r="C23" s="475" t="s">
        <v>80</v>
      </c>
      <c r="D23" s="261" t="s">
        <v>11</v>
      </c>
      <c r="E23" s="473" t="s">
        <v>133</v>
      </c>
      <c r="F23" s="474">
        <v>96000</v>
      </c>
      <c r="G23" s="281"/>
      <c r="H23" s="281"/>
      <c r="I23" s="281" t="str">
        <f>+[6]ภ.5!I23</f>
        <v>คณะกรรมการอยู่ระหว่างทบทวนคุณลักษณะเฉพาะคาดว่าก่อหนี้ผูกพันได้ ภายในไตรมาส 1/2559</v>
      </c>
      <c r="J23" s="263"/>
      <c r="K23" s="15"/>
      <c r="L23" s="15"/>
      <c r="M23" s="281" t="str">
        <f>+[6]ภ.5!M23</f>
        <v>คณะกรรมการอยู่ระหว่างทบทวนคุณลักษณะเฉพาะคาดว่าก่อหนี้ผูกพันได้ ภายในไตรมาส 1/2559</v>
      </c>
      <c r="N23" s="407">
        <v>1</v>
      </c>
      <c r="O23" s="400"/>
      <c r="P23" s="400"/>
      <c r="Q23" s="400"/>
      <c r="R23" s="400"/>
      <c r="S23" s="400"/>
    </row>
    <row r="24" spans="1:19" s="16" customFormat="1" ht="105" x14ac:dyDescent="0.2">
      <c r="A24" s="522">
        <v>14</v>
      </c>
      <c r="B24" s="522" t="s">
        <v>11</v>
      </c>
      <c r="C24" s="475" t="s">
        <v>238</v>
      </c>
      <c r="D24" s="522" t="s">
        <v>11</v>
      </c>
      <c r="E24" s="473" t="s">
        <v>661</v>
      </c>
      <c r="F24" s="500">
        <v>44000</v>
      </c>
      <c r="G24" s="281"/>
      <c r="H24" s="281"/>
      <c r="I24" s="281">
        <f>+[6]ภ.5!I24</f>
        <v>0</v>
      </c>
      <c r="J24" s="263"/>
      <c r="K24" s="15"/>
      <c r="L24" s="15"/>
      <c r="M24" s="281">
        <f>+[6]ภ.5!M24</f>
        <v>0</v>
      </c>
      <c r="N24" s="407"/>
      <c r="O24" s="400"/>
      <c r="P24" s="400"/>
      <c r="Q24" s="400"/>
      <c r="R24" s="400"/>
      <c r="S24" s="400"/>
    </row>
    <row r="25" spans="1:19" s="16" customFormat="1" ht="105" x14ac:dyDescent="0.2">
      <c r="A25" s="522">
        <v>15</v>
      </c>
      <c r="B25" s="522" t="s">
        <v>11</v>
      </c>
      <c r="C25" s="475" t="s">
        <v>238</v>
      </c>
      <c r="D25" s="522" t="s">
        <v>11</v>
      </c>
      <c r="E25" s="473" t="s">
        <v>662</v>
      </c>
      <c r="F25" s="500">
        <v>163200</v>
      </c>
      <c r="G25" s="281"/>
      <c r="H25" s="281"/>
      <c r="I25" s="281">
        <f>+[6]ภ.5!I25</f>
        <v>0</v>
      </c>
      <c r="J25" s="263"/>
      <c r="K25" s="15"/>
      <c r="L25" s="15"/>
      <c r="M25" s="281">
        <f>+[6]ภ.5!M25</f>
        <v>0</v>
      </c>
      <c r="N25" s="407"/>
      <c r="O25" s="400"/>
      <c r="P25" s="400"/>
      <c r="Q25" s="400"/>
      <c r="R25" s="400"/>
      <c r="S25" s="400"/>
    </row>
    <row r="26" spans="1:19" s="16" customFormat="1" ht="105" x14ac:dyDescent="0.2">
      <c r="A26" s="522">
        <v>16</v>
      </c>
      <c r="B26" s="522" t="s">
        <v>11</v>
      </c>
      <c r="C26" s="475" t="s">
        <v>238</v>
      </c>
      <c r="D26" s="522" t="s">
        <v>11</v>
      </c>
      <c r="E26" s="473" t="s">
        <v>663</v>
      </c>
      <c r="F26" s="500">
        <v>184000</v>
      </c>
      <c r="G26" s="281"/>
      <c r="H26" s="281"/>
      <c r="I26" s="281">
        <f>+[6]ภ.5!I26</f>
        <v>0</v>
      </c>
      <c r="J26" s="263"/>
      <c r="K26" s="15"/>
      <c r="L26" s="15"/>
      <c r="M26" s="281">
        <f>+[6]ภ.5!M26</f>
        <v>0</v>
      </c>
      <c r="N26" s="407"/>
      <c r="O26" s="400"/>
      <c r="P26" s="400"/>
      <c r="Q26" s="400"/>
      <c r="R26" s="400"/>
      <c r="S26" s="400"/>
    </row>
    <row r="27" spans="1:19" s="16" customFormat="1" x14ac:dyDescent="0.2">
      <c r="A27" s="14"/>
      <c r="B27" s="476"/>
      <c r="C27" s="476"/>
      <c r="D27" s="476"/>
      <c r="E27" s="477"/>
      <c r="F27" s="516"/>
      <c r="G27" s="31"/>
      <c r="H27" s="31"/>
      <c r="I27" s="31"/>
      <c r="J27" s="263"/>
      <c r="K27" s="15"/>
      <c r="L27" s="15"/>
      <c r="M27" s="31"/>
      <c r="N27" s="407"/>
      <c r="O27" s="400"/>
      <c r="P27" s="400"/>
      <c r="Q27" s="400"/>
      <c r="R27" s="400"/>
      <c r="S27" s="400"/>
    </row>
    <row r="28" spans="1:19" s="12" customFormat="1" x14ac:dyDescent="0.5">
      <c r="A28" s="232">
        <f>+A26</f>
        <v>16</v>
      </c>
      <c r="B28" s="232"/>
      <c r="C28" s="232"/>
      <c r="D28" s="232"/>
      <c r="E28" s="233" t="s">
        <v>58</v>
      </c>
      <c r="F28" s="297">
        <f>SUM(F11:F27)</f>
        <v>28994100</v>
      </c>
      <c r="G28" s="249">
        <f>SUM(G27:G27)</f>
        <v>0</v>
      </c>
      <c r="H28" s="249">
        <f>SUM(H27:H27)</f>
        <v>0</v>
      </c>
      <c r="I28" s="249"/>
      <c r="J28" s="265">
        <f>SUM(J27:J27)</f>
        <v>0</v>
      </c>
      <c r="K28" s="249">
        <f>SUM(K27:K27)</f>
        <v>0</v>
      </c>
      <c r="L28" s="249">
        <f>SUM(L27:L27)</f>
        <v>0</v>
      </c>
      <c r="M28" s="249"/>
      <c r="N28" s="406"/>
      <c r="O28" s="397">
        <f>+F28+G28</f>
        <v>28994100</v>
      </c>
      <c r="P28" s="398"/>
      <c r="Q28" s="398"/>
      <c r="R28" s="399"/>
      <c r="S28" s="399"/>
    </row>
    <row r="29" spans="1:19" s="16" customFormat="1" x14ac:dyDescent="0.2">
      <c r="A29" s="14"/>
      <c r="B29" s="14"/>
      <c r="C29" s="14"/>
      <c r="D29" s="14"/>
      <c r="E29" s="27" t="s">
        <v>59</v>
      </c>
      <c r="F29" s="31"/>
      <c r="G29" s="31"/>
      <c r="H29" s="31"/>
      <c r="I29" s="31"/>
      <c r="J29" s="263"/>
      <c r="K29" s="15"/>
      <c r="L29" s="15"/>
      <c r="M29" s="31"/>
      <c r="N29" s="407"/>
      <c r="O29" s="400"/>
      <c r="P29" s="400"/>
      <c r="Q29" s="400"/>
      <c r="R29" s="400"/>
      <c r="S29" s="400"/>
    </row>
    <row r="30" spans="1:19" s="284" customFormat="1" ht="56.25" x14ac:dyDescent="0.2">
      <c r="A30" s="425">
        <v>1</v>
      </c>
      <c r="B30" s="425"/>
      <c r="C30" s="469" t="s">
        <v>76</v>
      </c>
      <c r="D30" s="425" t="s">
        <v>11</v>
      </c>
      <c r="E30" s="517" t="s">
        <v>134</v>
      </c>
      <c r="F30" s="471">
        <v>49130300</v>
      </c>
      <c r="G30" s="428"/>
      <c r="H30" s="428"/>
      <c r="I30" s="426" t="str">
        <f>+[6]ภ.5!I30</f>
        <v>กำหนดราคากลาง</v>
      </c>
      <c r="J30" s="263"/>
      <c r="K30" s="15"/>
      <c r="L30" s="15"/>
      <c r="M30" s="426" t="str">
        <f>+[6]ภ.5!M30</f>
        <v>กำหนดราคากลาง</v>
      </c>
      <c r="N30" s="410">
        <v>2</v>
      </c>
      <c r="O30" s="401"/>
      <c r="P30" s="401"/>
      <c r="Q30" s="401"/>
      <c r="R30" s="401"/>
      <c r="S30" s="401"/>
    </row>
    <row r="31" spans="1:19" s="284" customFormat="1" ht="56.25" x14ac:dyDescent="0.2">
      <c r="A31" s="425">
        <v>2</v>
      </c>
      <c r="B31" s="425"/>
      <c r="C31" s="469" t="s">
        <v>76</v>
      </c>
      <c r="D31" s="425" t="s">
        <v>11</v>
      </c>
      <c r="E31" s="517" t="s">
        <v>135</v>
      </c>
      <c r="F31" s="471">
        <v>34011800</v>
      </c>
      <c r="G31" s="428"/>
      <c r="H31" s="428"/>
      <c r="I31" s="426" t="str">
        <f>+[6]ภ.5!I31</f>
        <v>กำหนดราคากลาง</v>
      </c>
      <c r="J31" s="263"/>
      <c r="K31" s="15"/>
      <c r="L31" s="15"/>
      <c r="M31" s="426" t="str">
        <f>+[6]ภ.5!M31</f>
        <v>กำหนดราคากลาง</v>
      </c>
      <c r="N31" s="410">
        <v>2</v>
      </c>
      <c r="O31" s="401"/>
      <c r="P31" s="401"/>
      <c r="Q31" s="401"/>
      <c r="R31" s="401"/>
      <c r="S31" s="401"/>
    </row>
    <row r="32" spans="1:19" s="284" customFormat="1" ht="46.5" customHeight="1" x14ac:dyDescent="0.2">
      <c r="A32" s="425">
        <v>3</v>
      </c>
      <c r="B32" s="494"/>
      <c r="C32" s="469" t="s">
        <v>76</v>
      </c>
      <c r="D32" s="425" t="s">
        <v>11</v>
      </c>
      <c r="E32" s="517" t="s">
        <v>136</v>
      </c>
      <c r="F32" s="471">
        <v>21331100</v>
      </c>
      <c r="G32" s="428"/>
      <c r="H32" s="518"/>
      <c r="I32" s="426" t="str">
        <f>+[6]ภ.5!I32</f>
        <v>กำหนดราคากลาง</v>
      </c>
      <c r="J32" s="263"/>
      <c r="K32" s="15"/>
      <c r="L32" s="15"/>
      <c r="M32" s="426" t="str">
        <f>+[6]ภ.5!M32</f>
        <v>กำหนดราคากลาง</v>
      </c>
      <c r="N32" s="410">
        <v>2</v>
      </c>
      <c r="O32" s="401"/>
      <c r="P32" s="401"/>
      <c r="Q32" s="401"/>
      <c r="R32" s="401"/>
      <c r="S32" s="401"/>
    </row>
    <row r="33" spans="1:46" s="284" customFormat="1" ht="47.25" customHeight="1" x14ac:dyDescent="0.2">
      <c r="A33" s="425">
        <v>4</v>
      </c>
      <c r="B33" s="494"/>
      <c r="C33" s="469" t="s">
        <v>76</v>
      </c>
      <c r="D33" s="425" t="s">
        <v>11</v>
      </c>
      <c r="E33" s="517" t="s">
        <v>137</v>
      </c>
      <c r="F33" s="471">
        <v>24575000</v>
      </c>
      <c r="G33" s="428"/>
      <c r="H33" s="518"/>
      <c r="I33" s="426" t="str">
        <f>+[6]ภ.5!I33</f>
        <v>กำหนดราคากลาง</v>
      </c>
      <c r="J33" s="263"/>
      <c r="K33" s="15"/>
      <c r="L33" s="15"/>
      <c r="M33" s="426" t="str">
        <f>+[6]ภ.5!M33</f>
        <v>กำหนดราคากลาง</v>
      </c>
      <c r="N33" s="410">
        <v>2</v>
      </c>
      <c r="O33" s="401"/>
      <c r="P33" s="401"/>
      <c r="Q33" s="401"/>
      <c r="R33" s="401"/>
      <c r="S33" s="401"/>
    </row>
    <row r="34" spans="1:46" s="284" customFormat="1" ht="114.75" customHeight="1" x14ac:dyDescent="0.2">
      <c r="A34" s="261">
        <v>5</v>
      </c>
      <c r="B34" s="522" t="s">
        <v>11</v>
      </c>
      <c r="C34" s="475" t="s">
        <v>660</v>
      </c>
      <c r="D34" s="522" t="s">
        <v>11</v>
      </c>
      <c r="E34" s="473" t="s">
        <v>664</v>
      </c>
      <c r="F34" s="500">
        <v>400000</v>
      </c>
      <c r="G34" s="321"/>
      <c r="H34" s="520"/>
      <c r="I34" s="281">
        <f>+[6]ภ.5!I34</f>
        <v>0</v>
      </c>
      <c r="J34" s="263"/>
      <c r="K34" s="15"/>
      <c r="L34" s="15"/>
      <c r="M34" s="281">
        <f>+[6]ภ.5!M34</f>
        <v>0</v>
      </c>
      <c r="N34" s="410"/>
      <c r="O34" s="401"/>
      <c r="P34" s="401"/>
      <c r="Q34" s="401"/>
      <c r="R34" s="401"/>
      <c r="S34" s="401"/>
    </row>
    <row r="35" spans="1:46" s="284" customFormat="1" ht="23.25" customHeight="1" x14ac:dyDescent="0.2">
      <c r="A35" s="261"/>
      <c r="B35" s="498"/>
      <c r="C35" s="261"/>
      <c r="D35" s="261"/>
      <c r="E35" s="519"/>
      <c r="F35" s="474"/>
      <c r="G35" s="321"/>
      <c r="H35" s="520"/>
      <c r="I35" s="521"/>
      <c r="J35" s="285"/>
      <c r="K35" s="283"/>
      <c r="L35" s="283"/>
      <c r="M35" s="521"/>
      <c r="N35" s="410"/>
      <c r="O35" s="401"/>
      <c r="P35" s="401"/>
      <c r="Q35" s="401"/>
      <c r="R35" s="401"/>
      <c r="S35" s="401"/>
    </row>
    <row r="36" spans="1:46" s="16" customFormat="1" ht="22.5" thickBot="1" x14ac:dyDescent="0.55000000000000004">
      <c r="A36" s="235">
        <f>+A34</f>
        <v>5</v>
      </c>
      <c r="B36" s="235"/>
      <c r="C36" s="235"/>
      <c r="D36" s="235"/>
      <c r="E36" s="236" t="s">
        <v>60</v>
      </c>
      <c r="F36" s="298">
        <f>SUM(F30:F35)</f>
        <v>129448200</v>
      </c>
      <c r="G36" s="237">
        <f>SUM(G30:G35)</f>
        <v>0</v>
      </c>
      <c r="H36" s="237">
        <f>SUM(H30:H35)</f>
        <v>0</v>
      </c>
      <c r="I36" s="282"/>
      <c r="J36" s="266">
        <f>SUM(J30:J35)</f>
        <v>0</v>
      </c>
      <c r="K36" s="250">
        <f>SUM(K30:K35)</f>
        <v>0</v>
      </c>
      <c r="L36" s="250">
        <f>SUM(L30:L35)</f>
        <v>0</v>
      </c>
      <c r="M36" s="282"/>
      <c r="N36" s="405"/>
      <c r="O36" s="402">
        <f>+F36+G36</f>
        <v>129448200</v>
      </c>
      <c r="P36" s="398"/>
      <c r="Q36" s="398"/>
      <c r="R36" s="400"/>
      <c r="S36" s="400"/>
    </row>
    <row r="37" spans="1:46" s="480" customFormat="1" ht="22.5" thickBot="1" x14ac:dyDescent="0.55000000000000004">
      <c r="A37" s="238">
        <f>+A28+A36</f>
        <v>21</v>
      </c>
      <c r="B37" s="239"/>
      <c r="C37" s="239"/>
      <c r="D37" s="239"/>
      <c r="E37" s="239" t="s">
        <v>138</v>
      </c>
      <c r="F37" s="299">
        <f>F28+F36</f>
        <v>158442300</v>
      </c>
      <c r="G37" s="289">
        <f>+G28+G36</f>
        <v>0</v>
      </c>
      <c r="H37" s="289">
        <f>+H28+H36</f>
        <v>0</v>
      </c>
      <c r="I37" s="240"/>
      <c r="J37" s="240">
        <f>J28+J36</f>
        <v>0</v>
      </c>
      <c r="K37" s="240">
        <f>K28+K36</f>
        <v>0</v>
      </c>
      <c r="L37" s="240">
        <f>L28+L36</f>
        <v>0</v>
      </c>
      <c r="M37" s="240"/>
      <c r="N37" s="408"/>
      <c r="O37" s="397">
        <f>+O28+O36</f>
        <v>158442300</v>
      </c>
      <c r="P37" s="479"/>
      <c r="Q37" s="479"/>
      <c r="R37" s="399"/>
      <c r="S37" s="399"/>
      <c r="T37" s="12"/>
      <c r="U37" s="12"/>
      <c r="V37" s="12"/>
      <c r="W37" s="12"/>
      <c r="X37" s="12"/>
      <c r="Y37" s="12"/>
      <c r="Z37" s="12"/>
      <c r="AA37" s="12"/>
    </row>
    <row r="38" spans="1:46" s="16" customFormat="1" x14ac:dyDescent="0.2">
      <c r="A38" s="481"/>
      <c r="B38" s="481"/>
      <c r="C38" s="481"/>
      <c r="D38" s="481"/>
      <c r="E38" s="482"/>
      <c r="F38" s="376"/>
      <c r="G38" s="375"/>
      <c r="H38" s="375"/>
      <c r="I38" s="375"/>
      <c r="J38" s="375"/>
      <c r="K38" s="376"/>
      <c r="L38" s="376"/>
      <c r="M38" s="375"/>
      <c r="N38" s="407"/>
      <c r="O38" s="400"/>
      <c r="P38" s="400"/>
      <c r="Q38" s="400"/>
      <c r="R38" s="400"/>
      <c r="S38" s="400"/>
    </row>
    <row r="39" spans="1:46" s="16" customFormat="1" x14ac:dyDescent="0.5">
      <c r="A39" s="481"/>
      <c r="B39" s="481"/>
      <c r="C39" s="481"/>
      <c r="D39" s="481"/>
      <c r="E39" s="482"/>
      <c r="F39" s="252"/>
      <c r="G39" s="375"/>
      <c r="H39" s="375"/>
      <c r="I39" s="375"/>
      <c r="J39" s="375"/>
      <c r="K39" s="376"/>
      <c r="L39" s="376"/>
      <c r="M39" s="375"/>
      <c r="N39" s="407"/>
      <c r="O39" s="400"/>
      <c r="P39" s="400"/>
      <c r="Q39" s="400"/>
      <c r="R39" s="400"/>
      <c r="S39" s="400"/>
    </row>
    <row r="41" spans="1:46" s="77" customFormat="1" x14ac:dyDescent="0.5">
      <c r="A41" s="483"/>
      <c r="B41" s="483"/>
      <c r="C41" s="483"/>
      <c r="D41" s="483"/>
      <c r="F41" s="262"/>
      <c r="G41" s="119"/>
      <c r="H41" s="119"/>
      <c r="I41" s="119"/>
      <c r="J41" s="119"/>
      <c r="K41" s="484"/>
      <c r="L41" s="484"/>
      <c r="M41" s="119"/>
      <c r="N41" s="465"/>
      <c r="O41" s="399"/>
      <c r="P41" s="399"/>
      <c r="Q41" s="399"/>
      <c r="R41" s="399"/>
      <c r="S41" s="399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</row>
    <row r="42" spans="1:46" s="77" customFormat="1" x14ac:dyDescent="0.5">
      <c r="A42" s="483"/>
      <c r="B42" s="483"/>
      <c r="C42" s="483"/>
      <c r="D42" s="483"/>
      <c r="F42" s="262"/>
      <c r="G42" s="119"/>
      <c r="H42" s="119"/>
      <c r="I42" s="119"/>
      <c r="J42" s="119"/>
      <c r="K42" s="484"/>
      <c r="L42" s="484"/>
      <c r="M42" s="119"/>
      <c r="N42" s="465"/>
      <c r="O42" s="399"/>
      <c r="P42" s="399"/>
      <c r="Q42" s="399"/>
      <c r="R42" s="399"/>
      <c r="S42" s="399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</row>
    <row r="43" spans="1:46" s="77" customFormat="1" x14ac:dyDescent="0.5">
      <c r="A43" s="483"/>
      <c r="B43" s="483"/>
      <c r="C43" s="483"/>
      <c r="D43" s="483"/>
      <c r="F43" s="262"/>
      <c r="G43" s="119"/>
      <c r="H43" s="119"/>
      <c r="I43" s="119"/>
      <c r="J43" s="119"/>
      <c r="K43" s="484"/>
      <c r="L43" s="484"/>
      <c r="M43" s="119"/>
      <c r="N43" s="465"/>
      <c r="O43" s="399"/>
      <c r="P43" s="399"/>
      <c r="Q43" s="399"/>
      <c r="R43" s="399"/>
      <c r="S43" s="399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5"/>
      <c r="AQ43" s="485"/>
      <c r="AR43" s="485"/>
      <c r="AS43" s="485"/>
      <c r="AT43" s="485"/>
    </row>
    <row r="44" spans="1:46" s="77" customFormat="1" x14ac:dyDescent="0.5">
      <c r="A44" s="483"/>
      <c r="B44" s="483"/>
      <c r="C44" s="483"/>
      <c r="D44" s="483"/>
      <c r="F44" s="262"/>
      <c r="G44" s="119"/>
      <c r="H44" s="119"/>
      <c r="I44" s="119"/>
      <c r="J44" s="119"/>
      <c r="K44" s="484"/>
      <c r="L44" s="484"/>
      <c r="M44" s="119"/>
      <c r="N44" s="465"/>
      <c r="O44" s="399"/>
      <c r="P44" s="399"/>
      <c r="Q44" s="399"/>
      <c r="R44" s="399"/>
      <c r="S44" s="399"/>
      <c r="T44" s="485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485"/>
      <c r="AO44" s="485"/>
      <c r="AP44" s="485"/>
      <c r="AQ44" s="485"/>
      <c r="AR44" s="485"/>
      <c r="AS44" s="485"/>
      <c r="AT44" s="485"/>
    </row>
  </sheetData>
  <autoFilter ref="N1:N44"/>
  <mergeCells count="20">
    <mergeCell ref="Q5:Q8"/>
    <mergeCell ref="B5:B8"/>
    <mergeCell ref="D5:D8"/>
    <mergeCell ref="G6:G8"/>
    <mergeCell ref="J5:J8"/>
    <mergeCell ref="C5:C8"/>
    <mergeCell ref="P5:P8"/>
    <mergeCell ref="I5:I8"/>
    <mergeCell ref="F5:H5"/>
    <mergeCell ref="H6:H8"/>
    <mergeCell ref="M5:M8"/>
    <mergeCell ref="A1:M1"/>
    <mergeCell ref="A2:M2"/>
    <mergeCell ref="A3:M3"/>
    <mergeCell ref="F4:G4"/>
    <mergeCell ref="E5:E8"/>
    <mergeCell ref="F6:F8"/>
    <mergeCell ref="K5:K8"/>
    <mergeCell ref="L5:L8"/>
    <mergeCell ref="A5:A8"/>
  </mergeCells>
  <phoneticPr fontId="2" type="noConversion"/>
  <conditionalFormatting sqref="F11:F23 F30:F33">
    <cfRule type="cellIs" dxfId="110" priority="3" stopIfTrue="1" operator="between">
      <formula>2000001</formula>
      <formula>500000000</formula>
    </cfRule>
  </conditionalFormatting>
  <conditionalFormatting sqref="F24:F26">
    <cfRule type="cellIs" dxfId="109" priority="2" stopIfTrue="1" operator="between">
      <formula>2000001</formula>
      <formula>500000000</formula>
    </cfRule>
  </conditionalFormatting>
  <conditionalFormatting sqref="F34">
    <cfRule type="cellIs" dxfId="108" priority="1" stopIfTrue="1" operator="between">
      <formula>2000001</formula>
      <formula>500000000</formula>
    </cfRule>
  </conditionalFormatting>
  <pageMargins left="0.47244094488188981" right="0.51181102362204722" top="0.39370078740157483" bottom="0.39370078740157483" header="0.39370078740157483" footer="0.51181102362204722"/>
  <pageSetup paperSize="9" scale="78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1"/>
  <sheetViews>
    <sheetView zoomScaleNormal="100" zoomScaleSheetLayoutView="90" workbookViewId="0">
      <selection sqref="A1:M1"/>
    </sheetView>
  </sheetViews>
  <sheetFormatPr defaultColWidth="9.140625" defaultRowHeight="21.75" customHeight="1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4.85546875" style="460" customWidth="1"/>
    <col min="6" max="6" width="14.5703125" style="487" customWidth="1"/>
    <col min="7" max="7" width="14.85546875" style="488" customWidth="1"/>
    <col min="8" max="8" width="14.85546875" style="488" hidden="1" customWidth="1"/>
    <col min="9" max="9" width="31.42578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40" style="488" customWidth="1"/>
    <col min="14" max="14" width="4.4257812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8" width="9.140625" style="399"/>
    <col min="19" max="19" width="14.5703125" style="12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12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7</v>
      </c>
      <c r="Q2" s="397" t="e">
        <f>+#REF!+#REF!+#REF!+#REF!+#REF!+#REF!+#REF!</f>
        <v>#REF!</v>
      </c>
      <c r="R2" s="523">
        <v>1</v>
      </c>
      <c r="S2" s="138">
        <f>+F29</f>
        <v>2000000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>
        <v>3</v>
      </c>
      <c r="Q3" s="462" t="e">
        <f>+F12+#REF!+F11</f>
        <v>#REF!</v>
      </c>
      <c r="R3" s="463">
        <v>14</v>
      </c>
      <c r="S3" s="524" t="e">
        <f>+#REF!+#REF!+#REF!+#REF!+F22+F23+F24+F25+F26+F27+F28+F30+F19+F20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12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12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</row>
    <row r="11" spans="1:38" s="16" customFormat="1" ht="65.25" x14ac:dyDescent="0.2">
      <c r="A11" s="424">
        <v>1</v>
      </c>
      <c r="B11" s="424"/>
      <c r="C11" s="506" t="s">
        <v>139</v>
      </c>
      <c r="D11" s="425" t="s">
        <v>140</v>
      </c>
      <c r="E11" s="470" t="s">
        <v>141</v>
      </c>
      <c r="F11" s="471">
        <v>8064000</v>
      </c>
      <c r="G11" s="423"/>
      <c r="H11" s="423"/>
      <c r="I11" s="423" t="str">
        <f>+[7]ภ.6!I11</f>
        <v>ประกาศแล้วไม่มีผู้เสนอราคา</v>
      </c>
      <c r="J11" s="263"/>
      <c r="K11" s="15"/>
      <c r="L11" s="15"/>
      <c r="M11" s="423" t="str">
        <f>+[7]ภ.6!M11</f>
        <v>อยู่ระหว่างกำหนดคุณลักษณะเฉพาะ</v>
      </c>
      <c r="N11" s="407">
        <v>2</v>
      </c>
      <c r="O11" s="400"/>
      <c r="P11" s="400"/>
      <c r="Q11" s="400"/>
      <c r="R11" s="400"/>
    </row>
    <row r="12" spans="1:38" s="16" customFormat="1" ht="51.75" x14ac:dyDescent="0.2">
      <c r="A12" s="425">
        <v>2</v>
      </c>
      <c r="B12" s="425"/>
      <c r="C12" s="494" t="s">
        <v>76</v>
      </c>
      <c r="D12" s="425" t="s">
        <v>12</v>
      </c>
      <c r="E12" s="470" t="s">
        <v>142</v>
      </c>
      <c r="F12" s="426">
        <v>5100000</v>
      </c>
      <c r="G12" s="426"/>
      <c r="H12" s="426"/>
      <c r="I12" s="423" t="str">
        <f>+[7]ภ.6!I12</f>
        <v>อยู่ระหว่างขออนุมัติยกเลิกประกาศ TOR</v>
      </c>
      <c r="J12" s="263"/>
      <c r="K12" s="15"/>
      <c r="L12" s="15"/>
      <c r="M12" s="423" t="str">
        <f>+[7]ภ.6!M12</f>
        <v>อยู่ระหว่างกำหนดคุณลักษณะเฉพาะ</v>
      </c>
      <c r="N12" s="407">
        <v>2</v>
      </c>
      <c r="O12" s="400"/>
      <c r="P12" s="400"/>
      <c r="Q12" s="400"/>
      <c r="R12" s="400"/>
    </row>
    <row r="13" spans="1:38" s="16" customFormat="1" ht="105" x14ac:dyDescent="0.2">
      <c r="A13" s="261">
        <v>3</v>
      </c>
      <c r="B13" s="261" t="s">
        <v>12</v>
      </c>
      <c r="C13" s="475" t="s">
        <v>238</v>
      </c>
      <c r="D13" s="261" t="s">
        <v>12</v>
      </c>
      <c r="E13" s="473" t="s">
        <v>661</v>
      </c>
      <c r="F13" s="281">
        <v>49500</v>
      </c>
      <c r="G13" s="281"/>
      <c r="H13" s="281"/>
      <c r="I13" s="281">
        <f>+[7]ภ.6!I13</f>
        <v>0</v>
      </c>
      <c r="J13" s="285"/>
      <c r="K13" s="283"/>
      <c r="L13" s="283"/>
      <c r="M13" s="281">
        <f>+[7]ภ.6!M13</f>
        <v>0</v>
      </c>
      <c r="N13" s="407"/>
      <c r="O13" s="400"/>
      <c r="P13" s="400"/>
      <c r="Q13" s="400"/>
      <c r="R13" s="400"/>
    </row>
    <row r="14" spans="1:38" s="16" customFormat="1" ht="105" x14ac:dyDescent="0.2">
      <c r="A14" s="261">
        <v>4</v>
      </c>
      <c r="B14" s="261" t="s">
        <v>12</v>
      </c>
      <c r="C14" s="475" t="s">
        <v>238</v>
      </c>
      <c r="D14" s="261" t="s">
        <v>12</v>
      </c>
      <c r="E14" s="473" t="s">
        <v>662</v>
      </c>
      <c r="F14" s="281">
        <v>183600</v>
      </c>
      <c r="G14" s="281"/>
      <c r="H14" s="281"/>
      <c r="I14" s="281">
        <f>+[7]ภ.6!I14</f>
        <v>0</v>
      </c>
      <c r="J14" s="285"/>
      <c r="K14" s="283"/>
      <c r="L14" s="283"/>
      <c r="M14" s="281">
        <f>+[7]ภ.6!M14</f>
        <v>0</v>
      </c>
      <c r="N14" s="407"/>
      <c r="O14" s="400"/>
      <c r="P14" s="400"/>
      <c r="Q14" s="400"/>
      <c r="R14" s="400"/>
    </row>
    <row r="15" spans="1:38" s="16" customFormat="1" ht="105" x14ac:dyDescent="0.2">
      <c r="A15" s="261">
        <v>5</v>
      </c>
      <c r="B15" s="261" t="s">
        <v>12</v>
      </c>
      <c r="C15" s="475" t="s">
        <v>238</v>
      </c>
      <c r="D15" s="261" t="s">
        <v>12</v>
      </c>
      <c r="E15" s="473" t="s">
        <v>663</v>
      </c>
      <c r="F15" s="281">
        <v>207000</v>
      </c>
      <c r="G15" s="281"/>
      <c r="H15" s="281"/>
      <c r="I15" s="281">
        <f>+[7]ภ.6!I15</f>
        <v>0</v>
      </c>
      <c r="J15" s="285"/>
      <c r="K15" s="283"/>
      <c r="L15" s="283"/>
      <c r="M15" s="281">
        <f>+[7]ภ.6!M15</f>
        <v>0</v>
      </c>
      <c r="N15" s="407"/>
      <c r="O15" s="400"/>
      <c r="P15" s="400"/>
      <c r="Q15" s="400"/>
      <c r="R15" s="400"/>
    </row>
    <row r="16" spans="1:38" s="16" customFormat="1" ht="21" customHeight="1" x14ac:dyDescent="0.2">
      <c r="A16" s="14"/>
      <c r="B16" s="476"/>
      <c r="C16" s="476"/>
      <c r="D16" s="476"/>
      <c r="E16" s="493"/>
      <c r="F16" s="497"/>
      <c r="G16" s="30"/>
      <c r="H16" s="30"/>
      <c r="I16" s="31"/>
      <c r="J16" s="263"/>
      <c r="K16" s="15"/>
      <c r="L16" s="15"/>
      <c r="M16" s="31"/>
      <c r="N16" s="407"/>
      <c r="O16" s="400"/>
      <c r="P16" s="400"/>
      <c r="Q16" s="400"/>
      <c r="R16" s="400"/>
    </row>
    <row r="17" spans="1:18" s="12" customFormat="1" x14ac:dyDescent="0.5">
      <c r="A17" s="232">
        <f>+A15</f>
        <v>5</v>
      </c>
      <c r="B17" s="232"/>
      <c r="C17" s="232"/>
      <c r="D17" s="232"/>
      <c r="E17" s="233" t="s">
        <v>58</v>
      </c>
      <c r="F17" s="249">
        <f>SUM(F11:F16)</f>
        <v>13604100</v>
      </c>
      <c r="G17" s="234">
        <f>SUM(G16:G16)</f>
        <v>0</v>
      </c>
      <c r="H17" s="234">
        <f>SUM(H16:H16)</f>
        <v>0</v>
      </c>
      <c r="I17" s="249"/>
      <c r="J17" s="265">
        <f>SUM(J16:J16)</f>
        <v>0</v>
      </c>
      <c r="K17" s="249">
        <f>SUM(K16:K16)</f>
        <v>0</v>
      </c>
      <c r="L17" s="249">
        <f>SUM(L16:L16)</f>
        <v>0</v>
      </c>
      <c r="M17" s="249"/>
      <c r="N17" s="406"/>
      <c r="O17" s="397">
        <f>+F17+G17</f>
        <v>13604100</v>
      </c>
      <c r="P17" s="398"/>
      <c r="Q17" s="398"/>
      <c r="R17" s="399"/>
    </row>
    <row r="18" spans="1:18" s="16" customFormat="1" x14ac:dyDescent="0.2">
      <c r="A18" s="14"/>
      <c r="B18" s="14"/>
      <c r="C18" s="14"/>
      <c r="D18" s="14"/>
      <c r="E18" s="27" t="s">
        <v>59</v>
      </c>
      <c r="F18" s="31"/>
      <c r="G18" s="30"/>
      <c r="H18" s="30"/>
      <c r="I18" s="31"/>
      <c r="J18" s="263"/>
      <c r="K18" s="15"/>
      <c r="L18" s="15"/>
      <c r="M18" s="31"/>
      <c r="N18" s="407"/>
      <c r="O18" s="400"/>
      <c r="P18" s="400"/>
      <c r="Q18" s="400"/>
      <c r="R18" s="400"/>
    </row>
    <row r="19" spans="1:18" s="16" customFormat="1" ht="65.25" x14ac:dyDescent="0.2">
      <c r="A19" s="424">
        <v>1</v>
      </c>
      <c r="B19" s="424"/>
      <c r="C19" s="494" t="s">
        <v>76</v>
      </c>
      <c r="D19" s="425" t="s">
        <v>12</v>
      </c>
      <c r="E19" s="525" t="s">
        <v>143</v>
      </c>
      <c r="F19" s="526">
        <v>12326800</v>
      </c>
      <c r="G19" s="427"/>
      <c r="H19" s="427"/>
      <c r="I19" s="423" t="str">
        <f>+[7]ภ.6!I19</f>
        <v>อยู่ระหว่างผู้ชนะมาลงนามสัญญา</v>
      </c>
      <c r="J19" s="263"/>
      <c r="K19" s="15"/>
      <c r="L19" s="15"/>
      <c r="M19" s="423" t="str">
        <f>+[7]ภ.6!M19</f>
        <v>ลงนามในสัญญา วันที่ 20 พ.ย.58 พร้อมส่งมอบพื้นที่</v>
      </c>
      <c r="N19" s="407">
        <v>2</v>
      </c>
      <c r="O19" s="400"/>
      <c r="P19" s="400"/>
      <c r="Q19" s="400"/>
      <c r="R19" s="400"/>
    </row>
    <row r="20" spans="1:18" s="16" customFormat="1" ht="51.75" x14ac:dyDescent="0.2">
      <c r="A20" s="424">
        <v>2</v>
      </c>
      <c r="B20" s="424"/>
      <c r="C20" s="494" t="s">
        <v>76</v>
      </c>
      <c r="D20" s="425" t="s">
        <v>12</v>
      </c>
      <c r="E20" s="527" t="s">
        <v>144</v>
      </c>
      <c r="F20" s="526">
        <v>30925200</v>
      </c>
      <c r="G20" s="427"/>
      <c r="H20" s="427"/>
      <c r="I20" s="423" t="str">
        <f>+[7]ภ.6!I20</f>
        <v>อยู่ระหว่างกำหนดราคากลาง</v>
      </c>
      <c r="J20" s="263"/>
      <c r="K20" s="15"/>
      <c r="L20" s="15"/>
      <c r="M20" s="423" t="str">
        <f>+[7]ภ.6!M20</f>
        <v>อยู่ระหว่างกำหนดราคากลาง</v>
      </c>
      <c r="N20" s="407">
        <v>2</v>
      </c>
      <c r="O20" s="400"/>
      <c r="P20" s="400"/>
      <c r="Q20" s="400"/>
      <c r="R20" s="400"/>
    </row>
    <row r="21" spans="1:18" s="16" customFormat="1" ht="65.25" x14ac:dyDescent="0.2">
      <c r="A21" s="425"/>
      <c r="B21" s="425"/>
      <c r="C21" s="494" t="s">
        <v>76</v>
      </c>
      <c r="D21" s="425" t="s">
        <v>12</v>
      </c>
      <c r="E21" s="525" t="s">
        <v>145</v>
      </c>
      <c r="F21" s="526"/>
      <c r="G21" s="428"/>
      <c r="H21" s="428"/>
      <c r="I21" s="423">
        <f>+[7]ภ.6!I21</f>
        <v>0</v>
      </c>
      <c r="J21" s="263"/>
      <c r="K21" s="15"/>
      <c r="L21" s="15"/>
      <c r="M21" s="423">
        <f>+[7]ภ.6!M21</f>
        <v>0</v>
      </c>
      <c r="N21" s="407"/>
      <c r="O21" s="400"/>
      <c r="P21" s="400"/>
      <c r="Q21" s="400"/>
      <c r="R21" s="400"/>
    </row>
    <row r="22" spans="1:18" s="16" customFormat="1" ht="65.25" x14ac:dyDescent="0.2">
      <c r="A22" s="425">
        <v>3</v>
      </c>
      <c r="B22" s="425"/>
      <c r="C22" s="494" t="s">
        <v>76</v>
      </c>
      <c r="D22" s="425" t="s">
        <v>12</v>
      </c>
      <c r="E22" s="527" t="s">
        <v>146</v>
      </c>
      <c r="F22" s="526">
        <v>2500000</v>
      </c>
      <c r="G22" s="428"/>
      <c r="H22" s="428"/>
      <c r="I22" s="423" t="str">
        <f>+[7]ภ.6!I22</f>
        <v>อยู่ระหว่างกำหนดราคากลาง</v>
      </c>
      <c r="J22" s="263"/>
      <c r="K22" s="15"/>
      <c r="L22" s="15"/>
      <c r="M22" s="423" t="str">
        <f>+[7]ภ.6!M22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2" s="407">
        <v>2</v>
      </c>
      <c r="O22" s="400"/>
      <c r="P22" s="400"/>
      <c r="Q22" s="400"/>
      <c r="R22" s="400"/>
    </row>
    <row r="23" spans="1:18" s="16" customFormat="1" ht="65.25" x14ac:dyDescent="0.2">
      <c r="A23" s="425">
        <v>4</v>
      </c>
      <c r="B23" s="425"/>
      <c r="C23" s="494" t="s">
        <v>76</v>
      </c>
      <c r="D23" s="425" t="s">
        <v>12</v>
      </c>
      <c r="E23" s="527" t="s">
        <v>147</v>
      </c>
      <c r="F23" s="526">
        <v>3440500</v>
      </c>
      <c r="G23" s="428"/>
      <c r="H23" s="428"/>
      <c r="I23" s="423" t="str">
        <f>+[7]ภ.6!I23</f>
        <v>อยู่ระหว่างกำหนดราคากลาง</v>
      </c>
      <c r="J23" s="263"/>
      <c r="K23" s="15"/>
      <c r="L23" s="15"/>
      <c r="M23" s="423" t="str">
        <f>+[7]ภ.6!M23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3" s="407">
        <v>2</v>
      </c>
      <c r="O23" s="400"/>
      <c r="P23" s="400"/>
      <c r="Q23" s="400"/>
      <c r="R23" s="400"/>
    </row>
    <row r="24" spans="1:18" s="16" customFormat="1" ht="65.25" x14ac:dyDescent="0.2">
      <c r="A24" s="425">
        <v>5</v>
      </c>
      <c r="B24" s="425"/>
      <c r="C24" s="494" t="s">
        <v>76</v>
      </c>
      <c r="D24" s="425" t="s">
        <v>12</v>
      </c>
      <c r="E24" s="527" t="s">
        <v>148</v>
      </c>
      <c r="F24" s="526">
        <v>14745000</v>
      </c>
      <c r="G24" s="428"/>
      <c r="H24" s="428"/>
      <c r="I24" s="423" t="str">
        <f>+[7]ภ.6!I24</f>
        <v>อยู่ระหว่างกำหนดราคากลาง</v>
      </c>
      <c r="J24" s="263"/>
      <c r="K24" s="15"/>
      <c r="L24" s="15"/>
      <c r="M24" s="423" t="str">
        <f>+[7]ภ.6!M24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4" s="407">
        <v>2</v>
      </c>
      <c r="O24" s="400"/>
      <c r="P24" s="400"/>
      <c r="Q24" s="400"/>
      <c r="R24" s="400"/>
    </row>
    <row r="25" spans="1:18" s="16" customFormat="1" ht="65.25" x14ac:dyDescent="0.2">
      <c r="A25" s="425">
        <v>6</v>
      </c>
      <c r="B25" s="425"/>
      <c r="C25" s="494" t="s">
        <v>76</v>
      </c>
      <c r="D25" s="425" t="s">
        <v>12</v>
      </c>
      <c r="E25" s="527" t="s">
        <v>149</v>
      </c>
      <c r="F25" s="526">
        <v>19660000</v>
      </c>
      <c r="G25" s="428"/>
      <c r="H25" s="428"/>
      <c r="I25" s="423" t="str">
        <f>+[7]ภ.6!I25</f>
        <v>อยู่ระหว่างกำหนดราคากลาง</v>
      </c>
      <c r="J25" s="263"/>
      <c r="K25" s="15"/>
      <c r="L25" s="15"/>
      <c r="M25" s="423" t="str">
        <f>+[7]ภ.6!M25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5" s="407">
        <v>2</v>
      </c>
      <c r="O25" s="400"/>
      <c r="P25" s="400"/>
      <c r="Q25" s="400"/>
      <c r="R25" s="400"/>
    </row>
    <row r="26" spans="1:18" s="16" customFormat="1" ht="65.25" x14ac:dyDescent="0.2">
      <c r="A26" s="425">
        <v>7</v>
      </c>
      <c r="B26" s="425"/>
      <c r="C26" s="494" t="s">
        <v>76</v>
      </c>
      <c r="D26" s="425" t="s">
        <v>12</v>
      </c>
      <c r="E26" s="527" t="s">
        <v>150</v>
      </c>
      <c r="F26" s="526">
        <v>6000000</v>
      </c>
      <c r="G26" s="428"/>
      <c r="H26" s="428"/>
      <c r="I26" s="423" t="str">
        <f>+[7]ภ.6!I26</f>
        <v>อยู่ระหว่างกำหนดราคากลาง</v>
      </c>
      <c r="J26" s="263"/>
      <c r="K26" s="15"/>
      <c r="L26" s="15"/>
      <c r="M26" s="423" t="str">
        <f>+[7]ภ.6!M26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6" s="407">
        <v>2</v>
      </c>
      <c r="O26" s="400"/>
      <c r="P26" s="400"/>
      <c r="Q26" s="400"/>
      <c r="R26" s="400"/>
    </row>
    <row r="27" spans="1:18" s="16" customFormat="1" ht="65.25" x14ac:dyDescent="0.2">
      <c r="A27" s="425">
        <v>8</v>
      </c>
      <c r="B27" s="425"/>
      <c r="C27" s="494" t="s">
        <v>76</v>
      </c>
      <c r="D27" s="425" t="s">
        <v>12</v>
      </c>
      <c r="E27" s="527" t="s">
        <v>151</v>
      </c>
      <c r="F27" s="526">
        <v>19660000</v>
      </c>
      <c r="G27" s="428"/>
      <c r="H27" s="428"/>
      <c r="I27" s="423" t="str">
        <f>+[7]ภ.6!I27</f>
        <v>อยู่ระหว่างกำหนดราคากลาง</v>
      </c>
      <c r="J27" s="263"/>
      <c r="K27" s="15"/>
      <c r="L27" s="15"/>
      <c r="M27" s="423" t="str">
        <f>+[7]ภ.6!M27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7" s="407">
        <v>2</v>
      </c>
      <c r="O27" s="400"/>
      <c r="P27" s="400"/>
      <c r="Q27" s="400"/>
      <c r="R27" s="400"/>
    </row>
    <row r="28" spans="1:18" s="16" customFormat="1" ht="65.25" x14ac:dyDescent="0.2">
      <c r="A28" s="425">
        <v>9</v>
      </c>
      <c r="B28" s="425"/>
      <c r="C28" s="494" t="s">
        <v>76</v>
      </c>
      <c r="D28" s="425" t="s">
        <v>12</v>
      </c>
      <c r="E28" s="527" t="s">
        <v>152</v>
      </c>
      <c r="F28" s="526">
        <v>3000000</v>
      </c>
      <c r="G28" s="428"/>
      <c r="H28" s="428"/>
      <c r="I28" s="423" t="str">
        <f>+[7]ภ.6!I28</f>
        <v>อยู่ระหว่างกำหนดราคากลาง</v>
      </c>
      <c r="J28" s="263"/>
      <c r="K28" s="15"/>
      <c r="L28" s="15"/>
      <c r="M28" s="423" t="str">
        <f>+[7]ภ.6!M28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8" s="407">
        <v>2</v>
      </c>
      <c r="O28" s="400"/>
      <c r="P28" s="400"/>
      <c r="Q28" s="400"/>
      <c r="R28" s="400"/>
    </row>
    <row r="29" spans="1:18" s="16" customFormat="1" ht="65.25" x14ac:dyDescent="0.2">
      <c r="A29" s="261">
        <v>10</v>
      </c>
      <c r="B29" s="261"/>
      <c r="C29" s="498" t="s">
        <v>76</v>
      </c>
      <c r="D29" s="261" t="s">
        <v>12</v>
      </c>
      <c r="E29" s="528" t="s">
        <v>153</v>
      </c>
      <c r="F29" s="529">
        <v>2000000</v>
      </c>
      <c r="G29" s="321"/>
      <c r="H29" s="321"/>
      <c r="I29" s="31" t="str">
        <f>+[7]ภ.6!I29</f>
        <v>อยู่ระหว่างกำหนดราคากลาง</v>
      </c>
      <c r="J29" s="263"/>
      <c r="K29" s="15"/>
      <c r="L29" s="15"/>
      <c r="M29" s="31" t="str">
        <f>+[7]ภ.6!M29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9" s="407">
        <v>1</v>
      </c>
      <c r="O29" s="400"/>
      <c r="P29" s="400"/>
      <c r="Q29" s="400"/>
      <c r="R29" s="400"/>
    </row>
    <row r="30" spans="1:18" s="16" customFormat="1" ht="65.25" x14ac:dyDescent="0.2">
      <c r="A30" s="425">
        <v>11</v>
      </c>
      <c r="B30" s="425"/>
      <c r="C30" s="494" t="s">
        <v>76</v>
      </c>
      <c r="D30" s="425" t="s">
        <v>12</v>
      </c>
      <c r="E30" s="527" t="s">
        <v>154</v>
      </c>
      <c r="F30" s="526">
        <v>3000000</v>
      </c>
      <c r="G30" s="428"/>
      <c r="H30" s="428"/>
      <c r="I30" s="423" t="str">
        <f>+[7]ภ.6!I30</f>
        <v>อยู่ระหว่างกำหนดราคากลาง</v>
      </c>
      <c r="J30" s="263"/>
      <c r="K30" s="15"/>
      <c r="L30" s="15"/>
      <c r="M30" s="423" t="str">
        <f>+[7]ภ.6!M30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30" s="407">
        <v>2</v>
      </c>
      <c r="O30" s="400"/>
      <c r="P30" s="400"/>
      <c r="Q30" s="400"/>
      <c r="R30" s="400"/>
    </row>
    <row r="31" spans="1:18" s="16" customFormat="1" ht="105" x14ac:dyDescent="0.2">
      <c r="A31" s="261">
        <v>12</v>
      </c>
      <c r="B31" s="261" t="s">
        <v>12</v>
      </c>
      <c r="C31" s="475" t="s">
        <v>660</v>
      </c>
      <c r="D31" s="261" t="s">
        <v>12</v>
      </c>
      <c r="E31" s="473" t="s">
        <v>664</v>
      </c>
      <c r="F31" s="529">
        <v>450000</v>
      </c>
      <c r="G31" s="321"/>
      <c r="H31" s="321"/>
      <c r="I31" s="281">
        <f>+[7]ภ.6!I31</f>
        <v>0</v>
      </c>
      <c r="J31" s="285"/>
      <c r="K31" s="283"/>
      <c r="L31" s="283"/>
      <c r="M31" s="281">
        <f>+[7]ภ.6!M31</f>
        <v>0</v>
      </c>
      <c r="N31" s="407"/>
      <c r="O31" s="400"/>
      <c r="P31" s="400"/>
      <c r="Q31" s="400"/>
      <c r="R31" s="400"/>
    </row>
    <row r="32" spans="1:18" s="16" customFormat="1" x14ac:dyDescent="0.2">
      <c r="A32" s="14"/>
      <c r="B32" s="14"/>
      <c r="C32" s="14"/>
      <c r="D32" s="14"/>
      <c r="E32" s="493"/>
      <c r="F32" s="15"/>
      <c r="G32" s="30"/>
      <c r="H32" s="30"/>
      <c r="I32" s="31"/>
      <c r="J32" s="31"/>
      <c r="K32" s="15"/>
      <c r="L32" s="15"/>
      <c r="M32" s="31"/>
      <c r="N32" s="407"/>
      <c r="O32" s="400"/>
      <c r="P32" s="400"/>
      <c r="Q32" s="400"/>
      <c r="R32" s="400"/>
    </row>
    <row r="33" spans="1:46" s="16" customFormat="1" ht="22.5" thickBot="1" x14ac:dyDescent="0.55000000000000004">
      <c r="A33" s="235">
        <f>+A31</f>
        <v>12</v>
      </c>
      <c r="B33" s="235"/>
      <c r="C33" s="235"/>
      <c r="D33" s="235"/>
      <c r="E33" s="236" t="s">
        <v>60</v>
      </c>
      <c r="F33" s="250">
        <f>SUM(F19:F32)</f>
        <v>117707500</v>
      </c>
      <c r="G33" s="237">
        <f>SUM(G32:G32)</f>
        <v>0</v>
      </c>
      <c r="H33" s="237">
        <f>SUM(H32:H32)</f>
        <v>0</v>
      </c>
      <c r="I33" s="250"/>
      <c r="J33" s="250">
        <f>SUM(J32:J32)</f>
        <v>0</v>
      </c>
      <c r="K33" s="250">
        <f>SUM(K32:K32)</f>
        <v>0</v>
      </c>
      <c r="L33" s="250">
        <f>SUM(L32:L32)</f>
        <v>0</v>
      </c>
      <c r="M33" s="250"/>
      <c r="N33" s="405"/>
      <c r="O33" s="402">
        <f>+F33+G33</f>
        <v>117707500</v>
      </c>
      <c r="P33" s="398"/>
      <c r="Q33" s="398"/>
      <c r="R33" s="400"/>
    </row>
    <row r="34" spans="1:46" s="480" customFormat="1" ht="22.5" thickBot="1" x14ac:dyDescent="0.55000000000000004">
      <c r="A34" s="238">
        <f>+A17+A33</f>
        <v>17</v>
      </c>
      <c r="B34" s="239"/>
      <c r="C34" s="239"/>
      <c r="D34" s="239"/>
      <c r="E34" s="239" t="s">
        <v>155</v>
      </c>
      <c r="F34" s="251">
        <f>F17+F33</f>
        <v>131311600</v>
      </c>
      <c r="G34" s="289">
        <f>+G17+G33</f>
        <v>0</v>
      </c>
      <c r="H34" s="289">
        <f>+H17+H33</f>
        <v>0</v>
      </c>
      <c r="I34" s="240"/>
      <c r="J34" s="240">
        <f>J17+J33</f>
        <v>0</v>
      </c>
      <c r="K34" s="240">
        <f>K17+K33</f>
        <v>0</v>
      </c>
      <c r="L34" s="240">
        <f>L17+L33</f>
        <v>0</v>
      </c>
      <c r="M34" s="240"/>
      <c r="N34" s="408"/>
      <c r="O34" s="397">
        <f>+O17+O33</f>
        <v>131311600</v>
      </c>
      <c r="P34" s="479"/>
      <c r="Q34" s="479"/>
      <c r="R34" s="399"/>
      <c r="S34" s="12"/>
      <c r="T34" s="12"/>
      <c r="U34" s="12"/>
      <c r="V34" s="12"/>
      <c r="W34" s="12"/>
      <c r="X34" s="12"/>
      <c r="Y34" s="12"/>
      <c r="Z34" s="12"/>
      <c r="AA34" s="12"/>
    </row>
    <row r="35" spans="1:46" s="16" customFormat="1" x14ac:dyDescent="0.2">
      <c r="A35" s="481"/>
      <c r="B35" s="481"/>
      <c r="C35" s="481"/>
      <c r="D35" s="481"/>
      <c r="E35" s="482"/>
      <c r="F35" s="376"/>
      <c r="G35" s="375"/>
      <c r="H35" s="375"/>
      <c r="I35" s="375"/>
      <c r="J35" s="375"/>
      <c r="K35" s="376"/>
      <c r="L35" s="376"/>
      <c r="M35" s="375"/>
      <c r="N35" s="407"/>
      <c r="O35" s="400"/>
      <c r="P35" s="400"/>
      <c r="Q35" s="400"/>
      <c r="R35" s="400"/>
    </row>
    <row r="36" spans="1:46" s="16" customFormat="1" x14ac:dyDescent="0.5">
      <c r="A36" s="481"/>
      <c r="B36" s="481"/>
      <c r="C36" s="481"/>
      <c r="D36" s="481"/>
      <c r="E36" s="482"/>
      <c r="F36" s="252"/>
      <c r="G36" s="375"/>
      <c r="H36" s="375"/>
      <c r="I36" s="375"/>
      <c r="J36" s="375"/>
      <c r="K36" s="376"/>
      <c r="L36" s="376"/>
      <c r="M36" s="375"/>
      <c r="N36" s="407"/>
      <c r="O36" s="400"/>
      <c r="P36" s="400"/>
      <c r="Q36" s="400"/>
      <c r="R36" s="400"/>
    </row>
    <row r="38" spans="1:46" s="77" customFormat="1" x14ac:dyDescent="0.5">
      <c r="A38" s="483"/>
      <c r="B38" s="483"/>
      <c r="C38" s="483"/>
      <c r="D38" s="483"/>
      <c r="F38" s="262"/>
      <c r="G38" s="119"/>
      <c r="H38" s="119"/>
      <c r="I38" s="119"/>
      <c r="J38" s="119"/>
      <c r="K38" s="484"/>
      <c r="L38" s="484"/>
      <c r="M38" s="119"/>
      <c r="N38" s="465"/>
      <c r="O38" s="399"/>
      <c r="P38" s="399"/>
      <c r="Q38" s="399"/>
      <c r="R38" s="399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</row>
    <row r="39" spans="1:46" s="77" customFormat="1" x14ac:dyDescent="0.5">
      <c r="A39" s="483"/>
      <c r="B39" s="483"/>
      <c r="C39" s="483"/>
      <c r="D39" s="483"/>
      <c r="F39" s="262"/>
      <c r="G39" s="119"/>
      <c r="H39" s="119"/>
      <c r="I39" s="119"/>
      <c r="J39" s="119"/>
      <c r="K39" s="484"/>
      <c r="L39" s="484"/>
      <c r="M39" s="119"/>
      <c r="N39" s="465"/>
      <c r="O39" s="399"/>
      <c r="P39" s="399"/>
      <c r="Q39" s="399"/>
      <c r="R39" s="399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</row>
    <row r="40" spans="1:46" s="77" customFormat="1" x14ac:dyDescent="0.5">
      <c r="A40" s="483"/>
      <c r="B40" s="483"/>
      <c r="C40" s="483"/>
      <c r="D40" s="483"/>
      <c r="F40" s="262"/>
      <c r="G40" s="119"/>
      <c r="H40" s="119"/>
      <c r="I40" s="119"/>
      <c r="J40" s="119"/>
      <c r="K40" s="484"/>
      <c r="L40" s="484"/>
      <c r="M40" s="119"/>
      <c r="N40" s="465"/>
      <c r="O40" s="399"/>
      <c r="P40" s="399"/>
      <c r="Q40" s="399"/>
      <c r="R40" s="399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</row>
    <row r="41" spans="1:46" s="77" customFormat="1" x14ac:dyDescent="0.5">
      <c r="A41" s="483"/>
      <c r="B41" s="483"/>
      <c r="C41" s="483"/>
      <c r="D41" s="483"/>
      <c r="F41" s="262"/>
      <c r="G41" s="119"/>
      <c r="H41" s="119"/>
      <c r="I41" s="119"/>
      <c r="J41" s="119"/>
      <c r="K41" s="484"/>
      <c r="L41" s="484"/>
      <c r="M41" s="119"/>
      <c r="N41" s="465"/>
      <c r="O41" s="399"/>
      <c r="P41" s="399"/>
      <c r="Q41" s="399"/>
      <c r="R41" s="399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</row>
  </sheetData>
  <autoFilter ref="N1:N41"/>
  <mergeCells count="20">
    <mergeCell ref="A1:M1"/>
    <mergeCell ref="A2:M2"/>
    <mergeCell ref="A3:M3"/>
    <mergeCell ref="A5:A8"/>
    <mergeCell ref="B5:B8"/>
    <mergeCell ref="F4:G4"/>
    <mergeCell ref="Q5:Q8"/>
    <mergeCell ref="K5:K8"/>
    <mergeCell ref="L5:L8"/>
    <mergeCell ref="J5:J8"/>
    <mergeCell ref="C5:C8"/>
    <mergeCell ref="P5:P8"/>
    <mergeCell ref="G6:G8"/>
    <mergeCell ref="D5:D8"/>
    <mergeCell ref="E5:E8"/>
    <mergeCell ref="F6:F8"/>
    <mergeCell ref="I5:I8"/>
    <mergeCell ref="F5:H5"/>
    <mergeCell ref="H6:H8"/>
    <mergeCell ref="M5:M8"/>
  </mergeCells>
  <phoneticPr fontId="2" type="noConversion"/>
  <conditionalFormatting sqref="F12 F21:F31">
    <cfRule type="cellIs" dxfId="107" priority="5" stopIfTrue="1" operator="between">
      <formula>2000001</formula>
      <formula>500000000</formula>
    </cfRule>
  </conditionalFormatting>
  <conditionalFormatting sqref="F11">
    <cfRule type="cellIs" dxfId="106" priority="4" stopIfTrue="1" operator="between">
      <formula>2000001</formula>
      <formula>500000000</formula>
    </cfRule>
  </conditionalFormatting>
  <conditionalFormatting sqref="F19">
    <cfRule type="cellIs" dxfId="105" priority="3" stopIfTrue="1" operator="between">
      <formula>2000001</formula>
      <formula>500000000</formula>
    </cfRule>
  </conditionalFormatting>
  <conditionalFormatting sqref="F20">
    <cfRule type="cellIs" dxfId="104" priority="2" stopIfTrue="1" operator="between">
      <formula>2000001</formula>
      <formula>500000000</formula>
    </cfRule>
  </conditionalFormatting>
  <conditionalFormatting sqref="F13:F15">
    <cfRule type="cellIs" dxfId="103" priority="1" stopIfTrue="1" operator="between">
      <formula>2000001</formula>
      <formula>500000000</formula>
    </cfRule>
  </conditionalFormatting>
  <pageMargins left="0.43307086614173229" right="0.47244094488188981" top="0.78740157480314965" bottom="0.35433070866141736" header="0.35433070866141736" footer="0.31496062992125984"/>
  <pageSetup paperSize="9" scale="8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7"/>
  <sheetViews>
    <sheetView topLeftCell="A12" zoomScaleNormal="100" zoomScaleSheetLayoutView="9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5703125" style="487" customWidth="1"/>
    <col min="7" max="7" width="13.5703125" style="488" customWidth="1"/>
    <col min="8" max="8" width="13.5703125" style="488" hidden="1" customWidth="1"/>
    <col min="9" max="9" width="35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5.5703125" style="488" customWidth="1"/>
    <col min="14" max="14" width="4.5703125" style="465" customWidth="1"/>
    <col min="15" max="15" width="17.42578125" style="399" customWidth="1"/>
    <col min="16" max="16" width="9.140625" style="399"/>
    <col min="17" max="17" width="12.42578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 t="s">
        <v>70</v>
      </c>
      <c r="Q2" s="397" t="s">
        <v>70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1</v>
      </c>
      <c r="Q3" s="462" t="e">
        <f>+#REF!</f>
        <v>#REF!</v>
      </c>
      <c r="R3" s="463">
        <v>4</v>
      </c>
      <c r="S3" s="462">
        <f>SUM(F17:F17)</f>
        <v>400000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13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5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08" customHeight="1" x14ac:dyDescent="0.2">
      <c r="A11" s="14">
        <v>1</v>
      </c>
      <c r="B11" s="261" t="s">
        <v>13</v>
      </c>
      <c r="C11" s="475" t="s">
        <v>238</v>
      </c>
      <c r="D11" s="261" t="s">
        <v>13</v>
      </c>
      <c r="E11" s="473" t="s">
        <v>661</v>
      </c>
      <c r="F11" s="474">
        <v>44000</v>
      </c>
      <c r="G11" s="31"/>
      <c r="H11" s="531"/>
      <c r="I11" s="532">
        <f>+[8]ภ.7!I11</f>
        <v>0</v>
      </c>
      <c r="J11" s="31"/>
      <c r="K11" s="15"/>
      <c r="L11" s="15"/>
      <c r="M11" s="532">
        <f>+[8]ภ.7!M11</f>
        <v>0</v>
      </c>
      <c r="N11" s="407"/>
      <c r="O11" s="400"/>
      <c r="P11" s="400"/>
      <c r="Q11" s="400"/>
      <c r="R11" s="400"/>
      <c r="S11" s="400"/>
    </row>
    <row r="12" spans="1:38" s="16" customFormat="1" ht="108" customHeight="1" x14ac:dyDescent="0.2">
      <c r="A12" s="14">
        <v>2</v>
      </c>
      <c r="B12" s="261" t="s">
        <v>13</v>
      </c>
      <c r="C12" s="475" t="s">
        <v>238</v>
      </c>
      <c r="D12" s="261" t="s">
        <v>13</v>
      </c>
      <c r="E12" s="473" t="s">
        <v>662</v>
      </c>
      <c r="F12" s="474">
        <v>163200</v>
      </c>
      <c r="G12" s="31"/>
      <c r="H12" s="531"/>
      <c r="I12" s="532">
        <f>+[8]ภ.7!I12</f>
        <v>0</v>
      </c>
      <c r="J12" s="31"/>
      <c r="K12" s="15"/>
      <c r="L12" s="15"/>
      <c r="M12" s="532">
        <f>+[8]ภ.7!M12</f>
        <v>0</v>
      </c>
      <c r="N12" s="407"/>
      <c r="O12" s="400"/>
      <c r="P12" s="400"/>
      <c r="Q12" s="400"/>
      <c r="R12" s="400"/>
      <c r="S12" s="400"/>
    </row>
    <row r="13" spans="1:38" s="16" customFormat="1" ht="108" customHeight="1" x14ac:dyDescent="0.2">
      <c r="A13" s="14">
        <v>3</v>
      </c>
      <c r="B13" s="261" t="s">
        <v>13</v>
      </c>
      <c r="C13" s="475" t="s">
        <v>238</v>
      </c>
      <c r="D13" s="261" t="s">
        <v>13</v>
      </c>
      <c r="E13" s="473" t="s">
        <v>663</v>
      </c>
      <c r="F13" s="474">
        <v>184000</v>
      </c>
      <c r="G13" s="31"/>
      <c r="H13" s="531"/>
      <c r="I13" s="532">
        <f>+[8]ภ.7!I13</f>
        <v>0</v>
      </c>
      <c r="J13" s="31"/>
      <c r="K13" s="15"/>
      <c r="L13" s="15"/>
      <c r="M13" s="532">
        <f>+[8]ภ.7!M13</f>
        <v>0</v>
      </c>
      <c r="N13" s="407"/>
      <c r="O13" s="400"/>
      <c r="P13" s="400"/>
      <c r="Q13" s="400"/>
      <c r="R13" s="400"/>
      <c r="S13" s="400"/>
    </row>
    <row r="14" spans="1:38" s="16" customFormat="1" x14ac:dyDescent="0.2">
      <c r="A14" s="14"/>
      <c r="B14" s="476"/>
      <c r="C14" s="476"/>
      <c r="D14" s="476"/>
      <c r="E14" s="493"/>
      <c r="F14" s="478"/>
      <c r="G14" s="30"/>
      <c r="H14" s="30"/>
      <c r="I14" s="31"/>
      <c r="J14" s="31"/>
      <c r="K14" s="15"/>
      <c r="L14" s="15"/>
      <c r="M14" s="31"/>
      <c r="N14" s="407"/>
      <c r="O14" s="400"/>
      <c r="P14" s="400"/>
      <c r="Q14" s="400"/>
      <c r="R14" s="400"/>
      <c r="S14" s="400"/>
    </row>
    <row r="15" spans="1:38" s="12" customFormat="1" x14ac:dyDescent="0.5">
      <c r="A15" s="232">
        <f>+A13</f>
        <v>3</v>
      </c>
      <c r="B15" s="232"/>
      <c r="C15" s="232"/>
      <c r="D15" s="232"/>
      <c r="E15" s="233" t="s">
        <v>58</v>
      </c>
      <c r="F15" s="297">
        <f>SUM(F11:F14)</f>
        <v>391200</v>
      </c>
      <c r="G15" s="234">
        <f>SUM(G14:G14)</f>
        <v>0</v>
      </c>
      <c r="H15" s="234">
        <f>SUM(H14:H14)</f>
        <v>0</v>
      </c>
      <c r="I15" s="249"/>
      <c r="J15" s="249">
        <f>SUM(J14:J14)</f>
        <v>0</v>
      </c>
      <c r="K15" s="249">
        <f>SUM(K14:K14)</f>
        <v>0</v>
      </c>
      <c r="L15" s="249">
        <f>SUM(L14:L14)</f>
        <v>0</v>
      </c>
      <c r="M15" s="249"/>
      <c r="N15" s="406"/>
      <c r="O15" s="397">
        <f>+F15+G15</f>
        <v>391200</v>
      </c>
      <c r="P15" s="398"/>
      <c r="Q15" s="398"/>
      <c r="R15" s="399"/>
      <c r="S15" s="399"/>
    </row>
    <row r="16" spans="1:38" s="16" customFormat="1" x14ac:dyDescent="0.2">
      <c r="A16" s="14"/>
      <c r="B16" s="14"/>
      <c r="C16" s="14"/>
      <c r="D16" s="14"/>
      <c r="E16" s="27" t="s">
        <v>59</v>
      </c>
      <c r="F16" s="31"/>
      <c r="G16" s="31"/>
      <c r="H16" s="31"/>
      <c r="I16" s="31"/>
      <c r="J16" s="31"/>
      <c r="K16" s="15"/>
      <c r="L16" s="15"/>
      <c r="M16" s="31"/>
      <c r="N16" s="407"/>
      <c r="O16" s="400"/>
      <c r="P16" s="400"/>
      <c r="Q16" s="400"/>
      <c r="R16" s="400"/>
      <c r="S16" s="400"/>
    </row>
    <row r="17" spans="1:46" s="284" customFormat="1" ht="112.5" customHeight="1" x14ac:dyDescent="0.2">
      <c r="A17" s="261">
        <v>1</v>
      </c>
      <c r="B17" s="261" t="s">
        <v>13</v>
      </c>
      <c r="C17" s="475" t="s">
        <v>238</v>
      </c>
      <c r="D17" s="261" t="s">
        <v>13</v>
      </c>
      <c r="E17" s="473" t="s">
        <v>664</v>
      </c>
      <c r="F17" s="529">
        <v>400000</v>
      </c>
      <c r="G17" s="321"/>
      <c r="H17" s="321"/>
      <c r="I17" s="532">
        <f>+[8]ภ.7!I17</f>
        <v>0</v>
      </c>
      <c r="J17" s="31"/>
      <c r="K17" s="15"/>
      <c r="L17" s="15"/>
      <c r="M17" s="532">
        <f>+[8]ภ.7!M17</f>
        <v>0</v>
      </c>
      <c r="N17" s="407">
        <v>2</v>
      </c>
      <c r="O17" s="401"/>
      <c r="P17" s="401"/>
      <c r="Q17" s="401"/>
      <c r="R17" s="401"/>
      <c r="S17" s="401"/>
    </row>
    <row r="18" spans="1:46" s="16" customFormat="1" x14ac:dyDescent="0.2">
      <c r="A18" s="14"/>
      <c r="B18" s="14"/>
      <c r="C18" s="14"/>
      <c r="D18" s="14"/>
      <c r="E18" s="477"/>
      <c r="F18" s="496"/>
      <c r="G18" s="30"/>
      <c r="H18" s="30"/>
      <c r="I18" s="31"/>
      <c r="J18" s="31"/>
      <c r="K18" s="15"/>
      <c r="L18" s="15"/>
      <c r="M18" s="31"/>
      <c r="N18" s="407"/>
      <c r="O18" s="400"/>
      <c r="P18" s="400"/>
      <c r="Q18" s="400"/>
      <c r="R18" s="400"/>
      <c r="S18" s="400"/>
    </row>
    <row r="19" spans="1:46" s="16" customFormat="1" ht="24" customHeight="1" thickBot="1" x14ac:dyDescent="0.55000000000000004">
      <c r="A19" s="235">
        <f>+A17</f>
        <v>1</v>
      </c>
      <c r="B19" s="235"/>
      <c r="C19" s="235"/>
      <c r="D19" s="235"/>
      <c r="E19" s="236" t="s">
        <v>60</v>
      </c>
      <c r="F19" s="298">
        <f>SUM(F17:F18)</f>
        <v>400000</v>
      </c>
      <c r="G19" s="237">
        <f>SUM(G17:G18)</f>
        <v>0</v>
      </c>
      <c r="H19" s="237">
        <f>SUM(H17:H18)</f>
        <v>0</v>
      </c>
      <c r="I19" s="250"/>
      <c r="J19" s="250">
        <f>SUM(J17:J18)</f>
        <v>0</v>
      </c>
      <c r="K19" s="250">
        <f>SUM(K17:K18)</f>
        <v>0</v>
      </c>
      <c r="L19" s="250">
        <f>SUM(L17:L18)</f>
        <v>0</v>
      </c>
      <c r="M19" s="250"/>
      <c r="N19" s="405"/>
      <c r="O19" s="402">
        <f>+F19+G19</f>
        <v>400000</v>
      </c>
      <c r="P19" s="398"/>
      <c r="Q19" s="398"/>
      <c r="R19" s="400"/>
      <c r="S19" s="400"/>
    </row>
    <row r="20" spans="1:46" s="480" customFormat="1" ht="22.5" thickBot="1" x14ac:dyDescent="0.55000000000000004">
      <c r="A20" s="238">
        <f>+A15+A19</f>
        <v>4</v>
      </c>
      <c r="B20" s="239"/>
      <c r="C20" s="239"/>
      <c r="D20" s="239"/>
      <c r="E20" s="239" t="s">
        <v>157</v>
      </c>
      <c r="F20" s="299">
        <f>F15+F19</f>
        <v>791200</v>
      </c>
      <c r="G20" s="289">
        <f>+G15+G19</f>
        <v>0</v>
      </c>
      <c r="H20" s="289">
        <f>+H15+H19</f>
        <v>0</v>
      </c>
      <c r="I20" s="240"/>
      <c r="J20" s="240">
        <f>J15+J19</f>
        <v>0</v>
      </c>
      <c r="K20" s="240">
        <f>K15+K19</f>
        <v>0</v>
      </c>
      <c r="L20" s="240">
        <f>L15+L19</f>
        <v>0</v>
      </c>
      <c r="M20" s="240"/>
      <c r="N20" s="408"/>
      <c r="O20" s="397">
        <f>+O15+O19</f>
        <v>791200</v>
      </c>
      <c r="P20" s="479"/>
      <c r="Q20" s="479"/>
      <c r="R20" s="399"/>
      <c r="S20" s="399"/>
      <c r="T20" s="12"/>
      <c r="U20" s="12"/>
      <c r="V20" s="12"/>
      <c r="W20" s="12"/>
      <c r="X20" s="12"/>
      <c r="Y20" s="12"/>
      <c r="Z20" s="12"/>
      <c r="AA20" s="12"/>
    </row>
    <row r="21" spans="1:46" s="16" customFormat="1" x14ac:dyDescent="0.2">
      <c r="A21" s="481"/>
      <c r="B21" s="481"/>
      <c r="C21" s="481"/>
      <c r="D21" s="481"/>
      <c r="E21" s="482"/>
      <c r="F21" s="376"/>
      <c r="G21" s="375"/>
      <c r="H21" s="375"/>
      <c r="I21" s="375"/>
      <c r="J21" s="375"/>
      <c r="K21" s="376"/>
      <c r="L21" s="376"/>
      <c r="M21" s="375"/>
      <c r="N21" s="407"/>
      <c r="O21" s="400"/>
      <c r="P21" s="400"/>
      <c r="Q21" s="400"/>
      <c r="R21" s="400"/>
      <c r="S21" s="400"/>
    </row>
    <row r="22" spans="1:46" s="16" customFormat="1" x14ac:dyDescent="0.5">
      <c r="A22" s="481"/>
      <c r="B22" s="481"/>
      <c r="C22" s="481"/>
      <c r="D22" s="481"/>
      <c r="E22" s="482"/>
      <c r="F22" s="252"/>
      <c r="G22" s="375"/>
      <c r="H22" s="375"/>
      <c r="I22" s="375"/>
      <c r="J22" s="375"/>
      <c r="K22" s="376"/>
      <c r="L22" s="376"/>
      <c r="M22" s="375"/>
      <c r="N22" s="407"/>
      <c r="O22" s="400"/>
      <c r="P22" s="400"/>
      <c r="Q22" s="400"/>
      <c r="R22" s="400"/>
      <c r="S22" s="400"/>
    </row>
    <row r="24" spans="1:46" s="77" customFormat="1" x14ac:dyDescent="0.5">
      <c r="A24" s="483"/>
      <c r="B24" s="483"/>
      <c r="C24" s="483"/>
      <c r="D24" s="483"/>
      <c r="F24" s="262"/>
      <c r="G24" s="119"/>
      <c r="H24" s="119"/>
      <c r="I24" s="119"/>
      <c r="J24" s="119"/>
      <c r="K24" s="484"/>
      <c r="L24" s="484"/>
      <c r="M24" s="119"/>
      <c r="N24" s="465"/>
      <c r="O24" s="399"/>
      <c r="P24" s="399"/>
      <c r="Q24" s="399"/>
      <c r="R24" s="399"/>
      <c r="S24" s="399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77" customFormat="1" x14ac:dyDescent="0.5">
      <c r="A25" s="483"/>
      <c r="B25" s="483"/>
      <c r="C25" s="483"/>
      <c r="D25" s="483"/>
      <c r="F25" s="262"/>
      <c r="G25" s="119"/>
      <c r="H25" s="119"/>
      <c r="I25" s="119"/>
      <c r="J25" s="119"/>
      <c r="K25" s="484"/>
      <c r="L25" s="484"/>
      <c r="M25" s="119"/>
      <c r="N25" s="465"/>
      <c r="O25" s="399"/>
      <c r="P25" s="399"/>
      <c r="Q25" s="399"/>
      <c r="R25" s="399"/>
      <c r="S25" s="399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  <row r="26" spans="1:46" s="77" customFormat="1" x14ac:dyDescent="0.5">
      <c r="A26" s="483"/>
      <c r="B26" s="483"/>
      <c r="C26" s="483"/>
      <c r="D26" s="483"/>
      <c r="F26" s="262"/>
      <c r="G26" s="119"/>
      <c r="H26" s="119"/>
      <c r="I26" s="119"/>
      <c r="J26" s="119"/>
      <c r="K26" s="484"/>
      <c r="L26" s="484"/>
      <c r="M26" s="119"/>
      <c r="N26" s="465"/>
      <c r="O26" s="399"/>
      <c r="P26" s="399"/>
      <c r="Q26" s="399"/>
      <c r="R26" s="399"/>
      <c r="S26" s="399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  <row r="27" spans="1:46" s="77" customFormat="1" x14ac:dyDescent="0.5">
      <c r="A27" s="483"/>
      <c r="B27" s="483"/>
      <c r="C27" s="483"/>
      <c r="D27" s="483"/>
      <c r="F27" s="262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</sheetData>
  <autoFilter ref="N1:N27"/>
  <mergeCells count="20">
    <mergeCell ref="A1:M1"/>
    <mergeCell ref="A2:M2"/>
    <mergeCell ref="A3:M3"/>
    <mergeCell ref="A5:A8"/>
    <mergeCell ref="F4:G4"/>
    <mergeCell ref="P5:P8"/>
    <mergeCell ref="Q5:Q8"/>
    <mergeCell ref="B5:B8"/>
    <mergeCell ref="J5:J8"/>
    <mergeCell ref="C5:C8"/>
    <mergeCell ref="D5:D8"/>
    <mergeCell ref="E5:E8"/>
    <mergeCell ref="F5:H5"/>
    <mergeCell ref="I5:I8"/>
    <mergeCell ref="H6:H8"/>
    <mergeCell ref="M5:M8"/>
    <mergeCell ref="F6:F8"/>
    <mergeCell ref="G6:G8"/>
    <mergeCell ref="K5:K8"/>
    <mergeCell ref="L5:L8"/>
  </mergeCells>
  <phoneticPr fontId="2" type="noConversion"/>
  <conditionalFormatting sqref="F11:F12">
    <cfRule type="cellIs" dxfId="102" priority="2" stopIfTrue="1" operator="between">
      <formula>2000001</formula>
      <formula>500000000</formula>
    </cfRule>
  </conditionalFormatting>
  <conditionalFormatting sqref="F17">
    <cfRule type="cellIs" dxfId="101" priority="1" stopIfTrue="1" operator="between">
      <formula>2000001</formula>
      <formula>500000000</formula>
    </cfRule>
  </conditionalFormatting>
  <pageMargins left="0.55118110236220474" right="0.55118110236220474" top="0.78740157480314965" bottom="0.78740157480314965" header="0.35433070866141736" footer="0.27559055118110237"/>
  <pageSetup paperSize="9" scale="80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3"/>
  <sheetViews>
    <sheetView topLeftCell="A28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5" style="460" customWidth="1"/>
    <col min="6" max="6" width="15.140625" style="487" customWidth="1"/>
    <col min="7" max="7" width="15.42578125" style="488" customWidth="1"/>
    <col min="8" max="8" width="15.42578125" style="488" hidden="1" customWidth="1"/>
    <col min="9" max="9" width="32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5.14062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12</v>
      </c>
      <c r="Q2" s="397">
        <f>SUM(F11:F22)</f>
        <v>8152900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 t="s">
        <v>70</v>
      </c>
      <c r="Q3" s="462" t="s">
        <v>70</v>
      </c>
      <c r="R3" s="463">
        <v>9</v>
      </c>
      <c r="S3" s="462">
        <f>SUM(F29:F32)</f>
        <v>58021700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14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5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45" x14ac:dyDescent="0.2">
      <c r="A11" s="261">
        <v>1</v>
      </c>
      <c r="B11" s="261"/>
      <c r="C11" s="475" t="s">
        <v>80</v>
      </c>
      <c r="D11" s="261" t="s">
        <v>14</v>
      </c>
      <c r="E11" s="533" t="s">
        <v>158</v>
      </c>
      <c r="F11" s="534">
        <v>600000</v>
      </c>
      <c r="G11" s="321"/>
      <c r="H11" s="321"/>
      <c r="I11" s="508" t="str">
        <f>+[9]ภ.8!I11</f>
        <v>  ได้ผู้ชนะ บ.พาโซย่า จำกัด วงเงิน 575,000 บาท  อยู่ระหว่างลงนามในสัญญา</v>
      </c>
      <c r="J11" s="31"/>
      <c r="K11" s="15"/>
      <c r="L11" s="15"/>
      <c r="M11" s="508" t="str">
        <f>+[9]ภ.8!M11</f>
        <v> ได้ผู้ชนะ บ.พาโซย่า จำกัด วงเงิน 575,000 บาท  ลงนามในสัญญาวันที่ 1 ธ.ค.58      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x14ac:dyDescent="0.2">
      <c r="A12" s="261">
        <v>2</v>
      </c>
      <c r="B12" s="261"/>
      <c r="C12" s="475" t="s">
        <v>80</v>
      </c>
      <c r="D12" s="261" t="s">
        <v>14</v>
      </c>
      <c r="E12" s="533" t="s">
        <v>159</v>
      </c>
      <c r="F12" s="534">
        <v>800000</v>
      </c>
      <c r="G12" s="321"/>
      <c r="H12" s="321"/>
      <c r="I12" s="508" t="str">
        <f>+[9]ภ.8!I12</f>
        <v>  สอบราคา ระหว่าง 15 - 30 ต.ค.58 กำหนดเปิดซอง 2 พ.ย.58  </v>
      </c>
      <c r="J12" s="31"/>
      <c r="K12" s="15"/>
      <c r="L12" s="15"/>
      <c r="M12" s="508" t="str">
        <f>+[9]ภ.8!M12</f>
        <v>  ได้ผู้ชนะ บ.เอมิโปร จำกัด วงเงิน 592,500 บาท  ลงนามในสัญญาวันที่ 1 ธ.ค.58  </v>
      </c>
      <c r="N12" s="407">
        <v>1</v>
      </c>
      <c r="O12" s="400"/>
      <c r="P12" s="400"/>
      <c r="Q12" s="400"/>
      <c r="R12" s="400"/>
      <c r="S12" s="400"/>
    </row>
    <row r="13" spans="1:38" s="16" customFormat="1" ht="65.25" x14ac:dyDescent="0.2">
      <c r="A13" s="261">
        <v>3</v>
      </c>
      <c r="B13" s="261"/>
      <c r="C13" s="475" t="s">
        <v>80</v>
      </c>
      <c r="D13" s="261" t="s">
        <v>14</v>
      </c>
      <c r="E13" s="533" t="s">
        <v>160</v>
      </c>
      <c r="F13" s="534">
        <v>900000</v>
      </c>
      <c r="G13" s="321"/>
      <c r="H13" s="321"/>
      <c r="I13" s="508" t="str">
        <f>+[9]ภ.8!I13</f>
        <v> สอบราคาระหว่าง 1-ต.ค.-2พ.ย.58 กำหนดเปิดซอง  3 พ.ย.58 </v>
      </c>
      <c r="J13" s="31"/>
      <c r="K13" s="15"/>
      <c r="L13" s="15"/>
      <c r="M13" s="508" t="str">
        <f>+[9]ภ.8!M13</f>
        <v>  ได้ผู้ชนะ บ.เอมิโปร จำกัด วงเงิน 521,100 บาท ลงนามในสัญญาวันที่ 1 ธ.ค.58  </v>
      </c>
      <c r="N13" s="407">
        <v>1</v>
      </c>
      <c r="O13" s="400"/>
      <c r="P13" s="400"/>
      <c r="Q13" s="400"/>
      <c r="R13" s="400"/>
      <c r="S13" s="400"/>
    </row>
    <row r="14" spans="1:38" s="16" customFormat="1" ht="65.25" x14ac:dyDescent="0.2">
      <c r="A14" s="261">
        <v>4</v>
      </c>
      <c r="B14" s="261"/>
      <c r="C14" s="475" t="s">
        <v>80</v>
      </c>
      <c r="D14" s="261" t="s">
        <v>14</v>
      </c>
      <c r="E14" s="533" t="s">
        <v>161</v>
      </c>
      <c r="F14" s="534">
        <v>1239000</v>
      </c>
      <c r="G14" s="321"/>
      <c r="H14" s="321"/>
      <c r="I14" s="508" t="str">
        <f>+[9]ภ.8!I14</f>
        <v>สอบราคาระหว่าง 22 ต.ค.-5พ.ย.58 กำหนดเปิดซอง 6 พ.ย.58</v>
      </c>
      <c r="J14" s="31"/>
      <c r="K14" s="15"/>
      <c r="L14" s="15"/>
      <c r="M14" s="508" t="str">
        <f>+[9]ภ.8!M14</f>
        <v>  ได้ผู้ชนะ บ.เอมิโปร จำกัด วงเงิน 1,050,200 บาทลงนามในสัญญาวันที่ 1 ธ.ค.58  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261"/>
      <c r="C15" s="475" t="s">
        <v>80</v>
      </c>
      <c r="D15" s="261" t="s">
        <v>14</v>
      </c>
      <c r="E15" s="533" t="s">
        <v>162</v>
      </c>
      <c r="F15" s="534">
        <v>884000</v>
      </c>
      <c r="G15" s="321"/>
      <c r="H15" s="321"/>
      <c r="I15" s="508" t="str">
        <f>+[9]ภ.8!I15</f>
        <v> สอบราคาระหว่าง 22 ต.ค.-6พ.ย.58 กำหนดเปิดซอง 9 พ.ย.58 </v>
      </c>
      <c r="J15" s="31"/>
      <c r="K15" s="15"/>
      <c r="L15" s="15"/>
      <c r="M15" s="508" t="str">
        <f>+[9]ภ.8!M15</f>
        <v>   ได้ผู้ชนะ บ.มิสเตอร์คอมพวิเตอร์แอนด์คอมมูนิเคชั่น วงเงิน 695,760 บาท ลงนามในสัญญาวันที่ 1 ธ.ค.58   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475" t="s">
        <v>80</v>
      </c>
      <c r="D16" s="261" t="s">
        <v>14</v>
      </c>
      <c r="E16" s="533" t="s">
        <v>163</v>
      </c>
      <c r="F16" s="534">
        <v>1140000</v>
      </c>
      <c r="G16" s="321"/>
      <c r="H16" s="321"/>
      <c r="I16" s="508" t="str">
        <f>+[9]ภ.8!I16</f>
        <v>   สอบราคา ระหว่าง 15 - 26 ต.ค.58 กำหนดเปิดซอง 27 ต.ค.58   </v>
      </c>
      <c r="J16" s="31"/>
      <c r="K16" s="15"/>
      <c r="L16" s="15"/>
      <c r="M16" s="508" t="str">
        <f>+[9]ภ.8!M16</f>
        <v>    ได้ผู้ชนะ บ.เอส ดี ภูเก็ต คอมพิวเตอร์  วงเงิน 658,200  บาท ลงนามในสัญญาวันที่ 1 ธ.ค.58    </v>
      </c>
      <c r="N16" s="407">
        <v>1</v>
      </c>
      <c r="O16" s="400"/>
      <c r="P16" s="400"/>
      <c r="Q16" s="400"/>
      <c r="R16" s="400"/>
      <c r="S16" s="400"/>
    </row>
    <row r="17" spans="1:19" s="16" customFormat="1" ht="65.25" x14ac:dyDescent="0.2">
      <c r="A17" s="261">
        <v>7</v>
      </c>
      <c r="B17" s="261"/>
      <c r="C17" s="475" t="s">
        <v>80</v>
      </c>
      <c r="D17" s="261" t="s">
        <v>14</v>
      </c>
      <c r="E17" s="533" t="s">
        <v>164</v>
      </c>
      <c r="F17" s="534">
        <v>547500</v>
      </c>
      <c r="G17" s="321"/>
      <c r="H17" s="321"/>
      <c r="I17" s="508" t="str">
        <f>+[9]ภ.8!I17</f>
        <v> ใช้วิธีตกลงราคา สามารถลงนามได้ภายใน 30 พ.ย.58</v>
      </c>
      <c r="J17" s="31"/>
      <c r="K17" s="15"/>
      <c r="L17" s="15"/>
      <c r="M17" s="508" t="str">
        <f>+[9]ภ.8!M17</f>
        <v>    ได้ผู้ชนะ บ.มิสเตอร์คอมพวิเตอร์แอนด์คอมมูนิเคชั่น วงเงิน 299,250  บาท ลงนามในสัญญาวันที่ 1 ธ.ค.58    </v>
      </c>
      <c r="N17" s="407">
        <v>1</v>
      </c>
      <c r="O17" s="400"/>
      <c r="P17" s="400"/>
      <c r="Q17" s="400"/>
      <c r="R17" s="400"/>
      <c r="S17" s="400"/>
    </row>
    <row r="18" spans="1:19" s="16" customFormat="1" ht="65.25" x14ac:dyDescent="0.2">
      <c r="A18" s="261">
        <v>8</v>
      </c>
      <c r="B18" s="261"/>
      <c r="C18" s="475" t="s">
        <v>80</v>
      </c>
      <c r="D18" s="261" t="s">
        <v>14</v>
      </c>
      <c r="E18" s="533" t="s">
        <v>165</v>
      </c>
      <c r="F18" s="534">
        <v>200000</v>
      </c>
      <c r="G18" s="321"/>
      <c r="H18" s="321"/>
      <c r="I18" s="508" t="str">
        <f>+[9]ภ.8!I18</f>
        <v>สอบราคาระหว่าง 19 ต.ค. - 3 พ.ย.58 กำหนดเปิดซอง 4 พ.ย.58</v>
      </c>
      <c r="J18" s="31"/>
      <c r="K18" s="15"/>
      <c r="L18" s="15"/>
      <c r="M18" s="508" t="str">
        <f>+[9]ภ.8!M18</f>
        <v>     ได้ผู้ชนะ บ.ริโก้ จำกัด วงเงิน 200,000  บาท ลงนามในสัญญาวันที่ 1 ธ.ค.58     </v>
      </c>
      <c r="N18" s="407">
        <v>1</v>
      </c>
      <c r="O18" s="400"/>
      <c r="P18" s="400"/>
      <c r="Q18" s="400"/>
      <c r="R18" s="400"/>
      <c r="S18" s="400"/>
    </row>
    <row r="19" spans="1:19" s="16" customFormat="1" ht="65.25" x14ac:dyDescent="0.2">
      <c r="A19" s="261">
        <v>9</v>
      </c>
      <c r="B19" s="261"/>
      <c r="C19" s="475" t="s">
        <v>80</v>
      </c>
      <c r="D19" s="261" t="s">
        <v>14</v>
      </c>
      <c r="E19" s="533" t="s">
        <v>166</v>
      </c>
      <c r="F19" s="534">
        <v>981000</v>
      </c>
      <c r="G19" s="321"/>
      <c r="H19" s="321"/>
      <c r="I19" s="508" t="str">
        <f>+[9]ภ.8!I19</f>
        <v>สอบราคาระหว่าง 19 ต.ค. - 3 พ.ย.58 กำหนดเปิดซอง 4 พ.ย.58</v>
      </c>
      <c r="J19" s="31"/>
      <c r="K19" s="15"/>
      <c r="L19" s="15"/>
      <c r="M19" s="508" t="str">
        <f>+[9]ภ.8!M19</f>
        <v>     ได้ผู้ชนะ บ.เอส ดี ภูเก็ต คอมพิวเตอร์  วงเงิน 587,510   บาท ลงนามในสัญญาวันที่ 1 ธ.ค.58     </v>
      </c>
      <c r="N19" s="407">
        <v>1</v>
      </c>
      <c r="O19" s="400"/>
      <c r="P19" s="400"/>
      <c r="Q19" s="400"/>
      <c r="R19" s="400"/>
      <c r="S19" s="400"/>
    </row>
    <row r="20" spans="1:19" s="16" customFormat="1" ht="45" x14ac:dyDescent="0.2">
      <c r="A20" s="261">
        <v>10</v>
      </c>
      <c r="B20" s="261"/>
      <c r="C20" s="475" t="s">
        <v>80</v>
      </c>
      <c r="D20" s="261" t="s">
        <v>14</v>
      </c>
      <c r="E20" s="533" t="s">
        <v>167</v>
      </c>
      <c r="F20" s="534">
        <v>240000</v>
      </c>
      <c r="G20" s="321"/>
      <c r="H20" s="321"/>
      <c r="I20" s="508" t="str">
        <f>+[9]ภ.8!I20</f>
        <v> ใช้วิธีตกลงราคา สามารถลงนามได้ภายใน 30 พ.ย.58</v>
      </c>
      <c r="J20" s="31"/>
      <c r="K20" s="15"/>
      <c r="L20" s="15"/>
      <c r="M20" s="508" t="str">
        <f>+[9]ภ.8!M20</f>
        <v>      ได้ผู้ชนะ บ.ริโก้ จำกัด วงเงิน 240,000  บาท ลงนามในสัญญาวันที่ 1 ธ.ค.58      </v>
      </c>
      <c r="N20" s="407">
        <v>1</v>
      </c>
      <c r="O20" s="400"/>
      <c r="P20" s="400"/>
      <c r="Q20" s="400"/>
      <c r="R20" s="400"/>
      <c r="S20" s="400"/>
    </row>
    <row r="21" spans="1:19" s="16" customFormat="1" ht="65.25" x14ac:dyDescent="0.2">
      <c r="A21" s="261">
        <v>11</v>
      </c>
      <c r="B21" s="261"/>
      <c r="C21" s="475" t="s">
        <v>80</v>
      </c>
      <c r="D21" s="261" t="s">
        <v>14</v>
      </c>
      <c r="E21" s="533" t="s">
        <v>168</v>
      </c>
      <c r="F21" s="534">
        <v>573400</v>
      </c>
      <c r="G21" s="321"/>
      <c r="H21" s="321"/>
      <c r="I21" s="508" t="str">
        <f>+[9]ภ.8!I21</f>
        <v> สอบราคาระหว่าง 19 ต.ค. - 2 พ.ย.58 กำหนดเปิดซอง 3 พ.ย.58 </v>
      </c>
      <c r="J21" s="31"/>
      <c r="K21" s="15"/>
      <c r="L21" s="15"/>
      <c r="M21" s="508" t="str">
        <f>+[9]ภ.8!M21</f>
        <v>     ได้ผู้ชนะ บ.มิสเตอร์คอมพวิเตอร์แอนด์คอมมูนิเคชั่น วงเงิน 201,160   บาท ลงนามในสัญญาวันที่ 1 ธ.ค.58     </v>
      </c>
      <c r="N21" s="407">
        <v>1</v>
      </c>
      <c r="O21" s="400"/>
      <c r="P21" s="400"/>
      <c r="Q21" s="400"/>
      <c r="R21" s="400"/>
      <c r="S21" s="400"/>
    </row>
    <row r="22" spans="1:19" s="16" customFormat="1" ht="45" x14ac:dyDescent="0.2">
      <c r="A22" s="261">
        <v>12</v>
      </c>
      <c r="B22" s="261"/>
      <c r="C22" s="475" t="s">
        <v>80</v>
      </c>
      <c r="D22" s="261" t="s">
        <v>14</v>
      </c>
      <c r="E22" s="533" t="s">
        <v>169</v>
      </c>
      <c r="F22" s="534">
        <v>48000</v>
      </c>
      <c r="G22" s="321"/>
      <c r="H22" s="321"/>
      <c r="I22" s="508" t="str">
        <f>+[9]ภ.8!I22</f>
        <v> ใช้วิธีตกลงราคา สามารถลงนามได้ภายใน 30 พ.ย.58</v>
      </c>
      <c r="J22" s="31"/>
      <c r="K22" s="15"/>
      <c r="L22" s="15"/>
      <c r="M22" s="508" t="str">
        <f>+[9]ภ.8!M22</f>
        <v>       ได้ผู้ชนะ บ.ริโก้ จำกัด วงเงิน  48,000  บาท ลงนามในสัญญาวันที่ 1 ธ.ค.58       </v>
      </c>
      <c r="N22" s="407">
        <v>1</v>
      </c>
      <c r="O22" s="400"/>
      <c r="P22" s="400"/>
      <c r="Q22" s="400"/>
      <c r="R22" s="400"/>
      <c r="S22" s="400"/>
    </row>
    <row r="23" spans="1:19" s="16" customFormat="1" ht="105" x14ac:dyDescent="0.2">
      <c r="A23" s="261">
        <v>13</v>
      </c>
      <c r="B23" s="261" t="s">
        <v>14</v>
      </c>
      <c r="C23" s="475" t="s">
        <v>238</v>
      </c>
      <c r="D23" s="261" t="s">
        <v>14</v>
      </c>
      <c r="E23" s="473" t="s">
        <v>661</v>
      </c>
      <c r="F23" s="534">
        <v>38500</v>
      </c>
      <c r="G23" s="321"/>
      <c r="H23" s="321"/>
      <c r="I23" s="508">
        <f>+[9]ภ.8!I23</f>
        <v>0</v>
      </c>
      <c r="J23" s="31"/>
      <c r="K23" s="15"/>
      <c r="L23" s="15"/>
      <c r="M23" s="508">
        <f>+[9]ภ.8!M23</f>
        <v>0</v>
      </c>
      <c r="N23" s="407"/>
      <c r="O23" s="400"/>
      <c r="P23" s="400"/>
      <c r="Q23" s="400"/>
      <c r="R23" s="400"/>
      <c r="S23" s="400"/>
    </row>
    <row r="24" spans="1:19" s="16" customFormat="1" ht="105" x14ac:dyDescent="0.2">
      <c r="A24" s="261">
        <v>14</v>
      </c>
      <c r="B24" s="261" t="s">
        <v>14</v>
      </c>
      <c r="C24" s="475" t="s">
        <v>238</v>
      </c>
      <c r="D24" s="261" t="s">
        <v>14</v>
      </c>
      <c r="E24" s="473" t="s">
        <v>662</v>
      </c>
      <c r="F24" s="534">
        <v>142800</v>
      </c>
      <c r="G24" s="321"/>
      <c r="H24" s="321"/>
      <c r="I24" s="508">
        <f>+[9]ภ.8!I24</f>
        <v>0</v>
      </c>
      <c r="J24" s="31"/>
      <c r="K24" s="15"/>
      <c r="L24" s="15"/>
      <c r="M24" s="508">
        <f>+[9]ภ.8!M24</f>
        <v>0</v>
      </c>
      <c r="N24" s="407"/>
      <c r="O24" s="400"/>
      <c r="P24" s="400"/>
      <c r="Q24" s="400"/>
      <c r="R24" s="400"/>
      <c r="S24" s="400"/>
    </row>
    <row r="25" spans="1:19" s="16" customFormat="1" ht="105" x14ac:dyDescent="0.2">
      <c r="A25" s="261">
        <v>15</v>
      </c>
      <c r="B25" s="261" t="s">
        <v>14</v>
      </c>
      <c r="C25" s="475" t="s">
        <v>238</v>
      </c>
      <c r="D25" s="261" t="s">
        <v>14</v>
      </c>
      <c r="E25" s="473" t="s">
        <v>663</v>
      </c>
      <c r="F25" s="534">
        <v>161000</v>
      </c>
      <c r="G25" s="321"/>
      <c r="H25" s="321"/>
      <c r="I25" s="508">
        <f>+[9]ภ.8!I25</f>
        <v>0</v>
      </c>
      <c r="J25" s="31"/>
      <c r="K25" s="15"/>
      <c r="L25" s="15"/>
      <c r="M25" s="508">
        <f>+[9]ภ.8!M25</f>
        <v>0</v>
      </c>
      <c r="N25" s="407"/>
      <c r="O25" s="400"/>
      <c r="P25" s="400"/>
      <c r="Q25" s="400"/>
      <c r="R25" s="400"/>
      <c r="S25" s="400"/>
    </row>
    <row r="26" spans="1:19" s="16" customFormat="1" ht="19.5" customHeight="1" x14ac:dyDescent="0.2">
      <c r="A26" s="14"/>
      <c r="B26" s="476"/>
      <c r="C26" s="476"/>
      <c r="D26" s="476"/>
      <c r="E26" s="477"/>
      <c r="F26" s="516"/>
      <c r="G26" s="31"/>
      <c r="H26" s="31"/>
      <c r="I26" s="31"/>
      <c r="J26" s="31"/>
      <c r="K26" s="15"/>
      <c r="L26" s="15"/>
      <c r="M26" s="31"/>
      <c r="N26" s="407"/>
      <c r="O26" s="400"/>
      <c r="P26" s="400"/>
      <c r="Q26" s="400"/>
      <c r="R26" s="400"/>
      <c r="S26" s="400"/>
    </row>
    <row r="27" spans="1:19" s="12" customFormat="1" x14ac:dyDescent="0.5">
      <c r="A27" s="232">
        <f>+A25</f>
        <v>15</v>
      </c>
      <c r="B27" s="232"/>
      <c r="C27" s="232"/>
      <c r="D27" s="232"/>
      <c r="E27" s="233" t="s">
        <v>58</v>
      </c>
      <c r="F27" s="297">
        <f>SUM(F11:F26)</f>
        <v>8495200</v>
      </c>
      <c r="G27" s="234">
        <f>SUM(G11:G11)</f>
        <v>0</v>
      </c>
      <c r="H27" s="234">
        <f>SUM(H11:H11)</f>
        <v>0</v>
      </c>
      <c r="I27" s="249"/>
      <c r="J27" s="249">
        <f>SUM(J11:J11)</f>
        <v>0</v>
      </c>
      <c r="K27" s="249">
        <f>SUM(K11:K11)</f>
        <v>0</v>
      </c>
      <c r="L27" s="249">
        <f>SUM(L11:L11)</f>
        <v>0</v>
      </c>
      <c r="M27" s="249"/>
      <c r="N27" s="406"/>
      <c r="O27" s="397">
        <f>+F27+G27</f>
        <v>8495200</v>
      </c>
      <c r="P27" s="398"/>
      <c r="Q27" s="398"/>
      <c r="R27" s="399"/>
      <c r="S27" s="399"/>
    </row>
    <row r="28" spans="1:19" s="16" customFormat="1" x14ac:dyDescent="0.2">
      <c r="A28" s="14"/>
      <c r="B28" s="14"/>
      <c r="C28" s="14"/>
      <c r="D28" s="14"/>
      <c r="E28" s="27" t="s">
        <v>59</v>
      </c>
      <c r="F28" s="31"/>
      <c r="G28" s="31"/>
      <c r="H28" s="31"/>
      <c r="I28" s="31"/>
      <c r="J28" s="31"/>
      <c r="K28" s="15"/>
      <c r="L28" s="15"/>
      <c r="M28" s="31"/>
      <c r="N28" s="407"/>
      <c r="O28" s="400"/>
      <c r="P28" s="400"/>
      <c r="Q28" s="400"/>
      <c r="R28" s="400"/>
      <c r="S28" s="400"/>
    </row>
    <row r="29" spans="1:19" s="16" customFormat="1" ht="65.25" x14ac:dyDescent="0.2">
      <c r="A29" s="424">
        <v>1</v>
      </c>
      <c r="B29" s="424"/>
      <c r="C29" s="469" t="s">
        <v>76</v>
      </c>
      <c r="D29" s="425" t="s">
        <v>14</v>
      </c>
      <c r="E29" s="525" t="s">
        <v>170</v>
      </c>
      <c r="F29" s="526">
        <v>9039600</v>
      </c>
      <c r="G29" s="423"/>
      <c r="H29" s="423"/>
      <c r="I29" s="505" t="str">
        <f>+[9]ภ.8!I29</f>
        <v> 1-12 ต.ค.58 กำหนดราคากลาง / 2-6 พ.ย.58เผยแพร่ประกาศและเอกสารประกวดราคา</v>
      </c>
      <c r="J29" s="423"/>
      <c r="K29" s="535"/>
      <c r="L29" s="535"/>
      <c r="M29" s="505" t="str">
        <f>+[9]ภ.8!M29</f>
        <v>   -23 พ.ย.58 กำหนดเสนอราคา   ไม่มีผู้ยื่น ทำ e-bidding  ครั้งที่ 2  ลงนามทันภายใน 30 ธ.ค.58</v>
      </c>
      <c r="N29" s="407">
        <v>2</v>
      </c>
      <c r="O29" s="400"/>
      <c r="P29" s="400"/>
      <c r="Q29" s="400"/>
      <c r="R29" s="400"/>
      <c r="S29" s="400"/>
    </row>
    <row r="30" spans="1:19" s="16" customFormat="1" ht="145.5" customHeight="1" x14ac:dyDescent="0.2">
      <c r="A30" s="424">
        <v>2</v>
      </c>
      <c r="B30" s="424"/>
      <c r="C30" s="469" t="s">
        <v>76</v>
      </c>
      <c r="D30" s="425" t="s">
        <v>14</v>
      </c>
      <c r="E30" s="525" t="s">
        <v>171</v>
      </c>
      <c r="F30" s="526">
        <v>24407100</v>
      </c>
      <c r="G30" s="423"/>
      <c r="H30" s="423"/>
      <c r="I30" s="505" t="str">
        <f>+[9]ภ.8!I30</f>
        <v xml:space="preserve">16-22 ต.ค.58 ประกาศเชิญชวน / 16 พ.ย.กำหนดเสนอราคา </v>
      </c>
      <c r="J30" s="423"/>
      <c r="K30" s="535"/>
      <c r="L30" s="535"/>
      <c r="M30" s="505" t="str">
        <f>+[9]ภ.8!M30</f>
        <v>   -30 พ.ย.58 เสนอสำนักงบประมาณเห็นชอบราคา   
- 14-18 ธ.ค.58 ขออนุมัติร่างผ่าน ผบ.ตร.ถึง รัฐมนตรีเจ้าสังกัด 
- 22-25 ธ.ค.58 เสนอขออนุมัติจ้างต่อรัฐมนตรีเจ้าสังกัด -30 ธ.ค.58  ลงนามในสัญญาจ้างได้ </v>
      </c>
      <c r="N30" s="407">
        <v>2</v>
      </c>
      <c r="O30" s="400"/>
      <c r="P30" s="400"/>
      <c r="Q30" s="400"/>
      <c r="R30" s="400"/>
      <c r="S30" s="400"/>
    </row>
    <row r="31" spans="1:19" s="284" customFormat="1" ht="99.75" customHeight="1" x14ac:dyDescent="0.2">
      <c r="A31" s="424">
        <v>3</v>
      </c>
      <c r="B31" s="425"/>
      <c r="C31" s="469" t="s">
        <v>76</v>
      </c>
      <c r="D31" s="425" t="s">
        <v>14</v>
      </c>
      <c r="E31" s="525" t="s">
        <v>172</v>
      </c>
      <c r="F31" s="526">
        <v>6291200</v>
      </c>
      <c r="G31" s="428"/>
      <c r="H31" s="428"/>
      <c r="I31" s="505" t="str">
        <f>+[9]ภ.8!I31</f>
        <v> 23-30 ก.ย.58 ประกาศเชิญชวน / 12 ต.ค.58 กำหนดเสนอราคา  /26 ต.ค.-16 พ.ย.58 เสนอสำนักงบประมาณเห็นชอบราคา</v>
      </c>
      <c r="J31" s="423"/>
      <c r="K31" s="535"/>
      <c r="L31" s="535"/>
      <c r="M31" s="505" t="str">
        <f>+[9]ภ.8!M31</f>
        <v xml:space="preserve"> -26 ต.ค.-30 พ.ย.58เสนอสำนักงบประมาณเห็นชอบราคา 
-1-10 ธ.ค.58 ขออนุมัติจ้าง  
- 14-18 ธ.ค.58 กำหนดลงนามในสัญญา(7วัน)</v>
      </c>
      <c r="N31" s="410">
        <v>2</v>
      </c>
      <c r="O31" s="401"/>
      <c r="P31" s="401"/>
      <c r="Q31" s="401"/>
      <c r="R31" s="401"/>
      <c r="S31" s="401"/>
    </row>
    <row r="32" spans="1:19" s="284" customFormat="1" ht="65.25" x14ac:dyDescent="0.2">
      <c r="A32" s="424">
        <v>4</v>
      </c>
      <c r="B32" s="425"/>
      <c r="C32" s="469" t="s">
        <v>76</v>
      </c>
      <c r="D32" s="425" t="s">
        <v>14</v>
      </c>
      <c r="E32" s="525" t="s">
        <v>173</v>
      </c>
      <c r="F32" s="526">
        <v>18283800</v>
      </c>
      <c r="G32" s="428"/>
      <c r="H32" s="428"/>
      <c r="I32" s="505" t="str">
        <f>+[9]ภ.8!I32</f>
        <v>26-30 ต.ค.58 กำหนดราคากลาง/2-4 พ.ย.เผยแพร่ประกาศและเอกสารประกวดราคา</v>
      </c>
      <c r="J32" s="423"/>
      <c r="K32" s="535"/>
      <c r="L32" s="535"/>
      <c r="M32" s="505" t="str">
        <f>+[9]ภ.8!M32</f>
        <v> ประกาศเชิญชวน 20-27 พ.ย.58 </v>
      </c>
      <c r="N32" s="410">
        <v>2</v>
      </c>
      <c r="O32" s="401"/>
      <c r="P32" s="401"/>
      <c r="Q32" s="401"/>
      <c r="R32" s="401"/>
      <c r="S32" s="401"/>
    </row>
    <row r="33" spans="1:46" s="284" customFormat="1" ht="105" x14ac:dyDescent="0.2">
      <c r="A33" s="14">
        <v>5</v>
      </c>
      <c r="B33" s="261" t="s">
        <v>14</v>
      </c>
      <c r="C33" s="475" t="s">
        <v>238</v>
      </c>
      <c r="D33" s="261" t="s">
        <v>14</v>
      </c>
      <c r="E33" s="473" t="s">
        <v>664</v>
      </c>
      <c r="F33" s="529">
        <v>350000</v>
      </c>
      <c r="G33" s="321"/>
      <c r="H33" s="321"/>
      <c r="I33" s="508">
        <f>+[9]ภ.8!I33</f>
        <v>0</v>
      </c>
      <c r="J33" s="31"/>
      <c r="K33" s="15"/>
      <c r="L33" s="15"/>
      <c r="M33" s="508">
        <f>+[9]ภ.8!M33</f>
        <v>0</v>
      </c>
      <c r="N33" s="410"/>
      <c r="O33" s="401"/>
      <c r="P33" s="401"/>
      <c r="Q33" s="401"/>
      <c r="R33" s="401"/>
      <c r="S33" s="401"/>
    </row>
    <row r="34" spans="1:46" s="284" customFormat="1" ht="24.75" customHeight="1" x14ac:dyDescent="0.2">
      <c r="A34" s="261"/>
      <c r="B34" s="261"/>
      <c r="C34" s="261"/>
      <c r="D34" s="261"/>
      <c r="E34" s="536"/>
      <c r="F34" s="537"/>
      <c r="G34" s="321"/>
      <c r="H34" s="321"/>
      <c r="I34" s="508"/>
      <c r="J34" s="281"/>
      <c r="K34" s="283"/>
      <c r="L34" s="283"/>
      <c r="M34" s="508"/>
      <c r="N34" s="410"/>
      <c r="O34" s="401"/>
      <c r="P34" s="401"/>
      <c r="Q34" s="401"/>
      <c r="R34" s="401"/>
      <c r="S34" s="401"/>
    </row>
    <row r="35" spans="1:46" s="16" customFormat="1" ht="22.5" thickBot="1" x14ac:dyDescent="0.55000000000000004">
      <c r="A35" s="235">
        <f>+A33</f>
        <v>5</v>
      </c>
      <c r="B35" s="235"/>
      <c r="C35" s="235"/>
      <c r="D35" s="235"/>
      <c r="E35" s="236" t="s">
        <v>60</v>
      </c>
      <c r="F35" s="298">
        <f>SUM(F29:F34)</f>
        <v>58371700</v>
      </c>
      <c r="G35" s="237">
        <f>SUM(G31:G34)</f>
        <v>0</v>
      </c>
      <c r="H35" s="237">
        <f>SUM(H31:H34)</f>
        <v>0</v>
      </c>
      <c r="I35" s="250"/>
      <c r="J35" s="250">
        <f>SUM(J31:J34)</f>
        <v>0</v>
      </c>
      <c r="K35" s="250">
        <f>SUM(K31:K34)</f>
        <v>0</v>
      </c>
      <c r="L35" s="250">
        <f>SUM(L31:L34)</f>
        <v>0</v>
      </c>
      <c r="M35" s="250"/>
      <c r="N35" s="405"/>
      <c r="O35" s="402">
        <f>+F35+G35</f>
        <v>58371700</v>
      </c>
      <c r="P35" s="398"/>
      <c r="Q35" s="398"/>
      <c r="R35" s="400"/>
      <c r="S35" s="400"/>
    </row>
    <row r="36" spans="1:46" s="480" customFormat="1" ht="22.5" thickBot="1" x14ac:dyDescent="0.55000000000000004">
      <c r="A36" s="238">
        <f>A27+A35</f>
        <v>20</v>
      </c>
      <c r="B36" s="239"/>
      <c r="C36" s="239"/>
      <c r="D36" s="239"/>
      <c r="E36" s="239" t="s">
        <v>174</v>
      </c>
      <c r="F36" s="299">
        <f>F27+F35</f>
        <v>66866900</v>
      </c>
      <c r="G36" s="289">
        <f>+G27+G35</f>
        <v>0</v>
      </c>
      <c r="H36" s="289">
        <f>+H27+H35</f>
        <v>0</v>
      </c>
      <c r="I36" s="240"/>
      <c r="J36" s="240">
        <f>J27+J35</f>
        <v>0</v>
      </c>
      <c r="K36" s="240">
        <f>K27+K35</f>
        <v>0</v>
      </c>
      <c r="L36" s="240">
        <f>L27+L35</f>
        <v>0</v>
      </c>
      <c r="M36" s="240"/>
      <c r="N36" s="408"/>
      <c r="O36" s="397">
        <f>+O27+O35</f>
        <v>66866900</v>
      </c>
      <c r="P36" s="479"/>
      <c r="Q36" s="479"/>
      <c r="R36" s="399"/>
      <c r="S36" s="399"/>
      <c r="T36" s="12"/>
      <c r="U36" s="12"/>
      <c r="V36" s="12"/>
      <c r="W36" s="12"/>
      <c r="X36" s="12"/>
      <c r="Y36" s="12"/>
      <c r="Z36" s="12"/>
      <c r="AA36" s="12"/>
    </row>
    <row r="37" spans="1:46" s="16" customFormat="1" x14ac:dyDescent="0.2">
      <c r="A37" s="481"/>
      <c r="B37" s="481"/>
      <c r="C37" s="481"/>
      <c r="D37" s="481"/>
      <c r="E37" s="482"/>
      <c r="F37" s="376"/>
      <c r="G37" s="375"/>
      <c r="H37" s="375"/>
      <c r="I37" s="375"/>
      <c r="J37" s="375"/>
      <c r="K37" s="376"/>
      <c r="L37" s="376"/>
      <c r="M37" s="375"/>
      <c r="N37" s="407"/>
      <c r="O37" s="400"/>
      <c r="P37" s="400"/>
      <c r="Q37" s="400"/>
      <c r="R37" s="400"/>
      <c r="S37" s="400"/>
    </row>
    <row r="38" spans="1:46" s="16" customFormat="1" x14ac:dyDescent="0.5">
      <c r="A38" s="481"/>
      <c r="B38" s="481"/>
      <c r="C38" s="481"/>
      <c r="D38" s="481"/>
      <c r="E38" s="482"/>
      <c r="F38" s="252"/>
      <c r="G38" s="375"/>
      <c r="H38" s="375"/>
      <c r="I38" s="375"/>
      <c r="J38" s="375"/>
      <c r="K38" s="376"/>
      <c r="L38" s="376"/>
      <c r="M38" s="375"/>
      <c r="N38" s="407"/>
      <c r="O38" s="400"/>
      <c r="P38" s="400"/>
      <c r="Q38" s="400"/>
      <c r="R38" s="400"/>
      <c r="S38" s="400"/>
    </row>
    <row r="40" spans="1:46" s="77" customFormat="1" x14ac:dyDescent="0.5">
      <c r="A40" s="483"/>
      <c r="B40" s="483"/>
      <c r="C40" s="483"/>
      <c r="D40" s="483"/>
      <c r="F40" s="262"/>
      <c r="G40" s="119"/>
      <c r="H40" s="119"/>
      <c r="I40" s="119"/>
      <c r="J40" s="119"/>
      <c r="K40" s="484"/>
      <c r="L40" s="484"/>
      <c r="M40" s="119"/>
      <c r="N40" s="465"/>
      <c r="O40" s="399"/>
      <c r="P40" s="399"/>
      <c r="Q40" s="399"/>
      <c r="R40" s="399"/>
      <c r="S40" s="399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</row>
    <row r="41" spans="1:46" s="77" customFormat="1" x14ac:dyDescent="0.5">
      <c r="A41" s="483"/>
      <c r="B41" s="483"/>
      <c r="C41" s="483"/>
      <c r="D41" s="483"/>
      <c r="F41" s="262"/>
      <c r="G41" s="119"/>
      <c r="H41" s="119"/>
      <c r="I41" s="119"/>
      <c r="J41" s="119"/>
      <c r="K41" s="484"/>
      <c r="L41" s="484"/>
      <c r="M41" s="119"/>
      <c r="N41" s="465"/>
      <c r="O41" s="399"/>
      <c r="P41" s="399"/>
      <c r="Q41" s="399"/>
      <c r="R41" s="399"/>
      <c r="S41" s="399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</row>
    <row r="42" spans="1:46" s="77" customFormat="1" x14ac:dyDescent="0.5">
      <c r="A42" s="483"/>
      <c r="B42" s="483"/>
      <c r="C42" s="483"/>
      <c r="D42" s="483"/>
      <c r="F42" s="262"/>
      <c r="G42" s="119"/>
      <c r="H42" s="119"/>
      <c r="I42" s="119"/>
      <c r="J42" s="119"/>
      <c r="K42" s="484"/>
      <c r="L42" s="484"/>
      <c r="M42" s="119"/>
      <c r="N42" s="465"/>
      <c r="O42" s="399"/>
      <c r="P42" s="399"/>
      <c r="Q42" s="399"/>
      <c r="R42" s="399"/>
      <c r="S42" s="399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</row>
    <row r="43" spans="1:46" s="77" customFormat="1" x14ac:dyDescent="0.5">
      <c r="A43" s="483"/>
      <c r="B43" s="483"/>
      <c r="C43" s="483"/>
      <c r="D43" s="483"/>
      <c r="F43" s="262"/>
      <c r="G43" s="119"/>
      <c r="H43" s="119"/>
      <c r="I43" s="119"/>
      <c r="J43" s="119"/>
      <c r="K43" s="484"/>
      <c r="L43" s="484"/>
      <c r="M43" s="119"/>
      <c r="N43" s="465"/>
      <c r="O43" s="399"/>
      <c r="P43" s="399"/>
      <c r="Q43" s="399"/>
      <c r="R43" s="399"/>
      <c r="S43" s="399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5"/>
      <c r="AQ43" s="485"/>
      <c r="AR43" s="485"/>
      <c r="AS43" s="485"/>
      <c r="AT43" s="485"/>
    </row>
  </sheetData>
  <autoFilter ref="N1:N43"/>
  <mergeCells count="20">
    <mergeCell ref="Q5:Q8"/>
    <mergeCell ref="P5:P8"/>
    <mergeCell ref="L5:L8"/>
    <mergeCell ref="G6:G8"/>
    <mergeCell ref="F5:H5"/>
    <mergeCell ref="H6:H8"/>
    <mergeCell ref="M5:M8"/>
    <mergeCell ref="A1:M1"/>
    <mergeCell ref="A2:M2"/>
    <mergeCell ref="A3:M3"/>
    <mergeCell ref="A5:A8"/>
    <mergeCell ref="B5:B8"/>
    <mergeCell ref="D5:D8"/>
    <mergeCell ref="F6:F8"/>
    <mergeCell ref="I5:I8"/>
    <mergeCell ref="C5:C8"/>
    <mergeCell ref="K5:K8"/>
    <mergeCell ref="F4:G4"/>
    <mergeCell ref="E5:E8"/>
    <mergeCell ref="J5:J8"/>
  </mergeCells>
  <phoneticPr fontId="2" type="noConversion"/>
  <conditionalFormatting sqref="F11:F22 F31:F32">
    <cfRule type="cellIs" dxfId="100" priority="4" stopIfTrue="1" operator="between">
      <formula>2000001</formula>
      <formula>500000000</formula>
    </cfRule>
  </conditionalFormatting>
  <conditionalFormatting sqref="F29:F30">
    <cfRule type="cellIs" dxfId="99" priority="3" stopIfTrue="1" operator="between">
      <formula>2000001</formula>
      <formula>500000000</formula>
    </cfRule>
  </conditionalFormatting>
  <conditionalFormatting sqref="F23:F25">
    <cfRule type="cellIs" dxfId="98" priority="2" stopIfTrue="1" operator="between">
      <formula>2000001</formula>
      <formula>500000000</formula>
    </cfRule>
  </conditionalFormatting>
  <conditionalFormatting sqref="F33">
    <cfRule type="cellIs" dxfId="97" priority="1" stopIfTrue="1" operator="between">
      <formula>2000001</formula>
      <formula>500000000</formula>
    </cfRule>
  </conditionalFormatting>
  <pageMargins left="0.43307086614173229" right="0.47244094488188981" top="0.70866141732283472" bottom="0.47244094488188981" header="0.15748031496062992" footer="0.15748031496062992"/>
  <pageSetup paperSize="9" scale="80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3"/>
  <sheetViews>
    <sheetView topLeftCell="A13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2" style="460" customWidth="1"/>
    <col min="6" max="6" width="15" style="487" customWidth="1"/>
    <col min="7" max="7" width="12.42578125" style="488" customWidth="1"/>
    <col min="8" max="8" width="12.42578125" style="488" hidden="1" customWidth="1"/>
    <col min="9" max="9" width="35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5.7109375" style="488" customWidth="1"/>
    <col min="14" max="14" width="4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6</v>
      </c>
      <c r="Q2" s="397">
        <f>SUM(F12:F14)</f>
        <v>730000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1</v>
      </c>
      <c r="Q3" s="462">
        <f>+F11</f>
        <v>5250000</v>
      </c>
      <c r="R3" s="463">
        <v>19</v>
      </c>
      <c r="S3" s="462">
        <f>SUM(F21:F22)</f>
        <v>25511100</v>
      </c>
      <c r="T3" s="460"/>
      <c r="U3" s="460"/>
      <c r="V3" s="460"/>
      <c r="W3" s="460"/>
      <c r="X3" s="460"/>
      <c r="Y3" s="460"/>
      <c r="Z3" s="460"/>
      <c r="AA3" s="460"/>
    </row>
    <row r="4" spans="1:38" ht="14.25" customHeight="1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19.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18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18.75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3.5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ht="18.75" customHeight="1" x14ac:dyDescent="0.5">
      <c r="A9" s="10"/>
      <c r="B9" s="10"/>
      <c r="C9" s="10"/>
      <c r="D9" s="10"/>
      <c r="E9" s="29" t="s">
        <v>15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ht="19.5" customHeigh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65.75" customHeight="1" x14ac:dyDescent="0.2">
      <c r="A11" s="425">
        <v>1</v>
      </c>
      <c r="B11" s="425"/>
      <c r="C11" s="494" t="s">
        <v>76</v>
      </c>
      <c r="D11" s="425" t="s">
        <v>15</v>
      </c>
      <c r="E11" s="470" t="s">
        <v>175</v>
      </c>
      <c r="F11" s="426">
        <v>5250000</v>
      </c>
      <c r="G11" s="423"/>
      <c r="H11" s="423"/>
      <c r="I11" s="505" t="str">
        <f>+[10]Sheet1!I11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J11" s="497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1" s="497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1" s="497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1" s="505" t="str">
        <f>+[10]Sheet1!M11</f>
        <v>-  อยู่ระหว่างกำหนดคุณลักษณะเฉพาะและกำหนดราคากลางเนื่องจากสเปคของ ตร. ปี 2534 รุ่นเก่า   
- อยู่ระหว่างดำเนินการจัดซื้อ โดยขอความร่วมมือจากหน่วยงานทางราชการ ขอทราบราคาการจัดซื้อ เพื่อกำหนดราคากลาง เป็นราคาอ้างอิง</v>
      </c>
      <c r="N11" s="407">
        <v>2</v>
      </c>
      <c r="O11" s="400"/>
      <c r="P11" s="400"/>
      <c r="Q11" s="400"/>
      <c r="R11" s="400"/>
      <c r="S11" s="400"/>
    </row>
    <row r="12" spans="1:38" s="284" customFormat="1" ht="72.75" customHeight="1" x14ac:dyDescent="0.2">
      <c r="A12" s="261">
        <v>2</v>
      </c>
      <c r="B12" s="261"/>
      <c r="C12" s="475" t="s">
        <v>176</v>
      </c>
      <c r="D12" s="261" t="s">
        <v>15</v>
      </c>
      <c r="E12" s="473" t="s">
        <v>177</v>
      </c>
      <c r="F12" s="281">
        <v>310000</v>
      </c>
      <c r="G12" s="281"/>
      <c r="H12" s="281"/>
      <c r="I12" s="508" t="str">
        <f>+[10]Sheet1!I12</f>
        <v xml:space="preserve">  - จัดหาโดยวิธีพิเศษ  - อยู่ระหว่างลงนามในสัญญา</v>
      </c>
      <c r="J1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2" s="508" t="str">
        <f>+[10]Sheet1!M12</f>
        <v xml:space="preserve"> - จัดหาได้ 310,000 บาท อยู่ระหว่างลงนามในสัญญา</v>
      </c>
      <c r="N12" s="410">
        <v>1</v>
      </c>
      <c r="O12" s="401"/>
      <c r="P12" s="401"/>
      <c r="Q12" s="401"/>
      <c r="R12" s="401"/>
      <c r="S12" s="401"/>
    </row>
    <row r="13" spans="1:38" s="284" customFormat="1" ht="81" customHeight="1" x14ac:dyDescent="0.2">
      <c r="A13" s="261">
        <v>3</v>
      </c>
      <c r="B13" s="261"/>
      <c r="C13" s="475" t="s">
        <v>176</v>
      </c>
      <c r="D13" s="261" t="s">
        <v>15</v>
      </c>
      <c r="E13" s="473" t="s">
        <v>178</v>
      </c>
      <c r="F13" s="281">
        <v>140000</v>
      </c>
      <c r="G13" s="281"/>
      <c r="H13" s="281"/>
      <c r="I13" s="508" t="str">
        <f>+[10]Sheet1!I13</f>
        <v xml:space="preserve">  - จัดหาโดยวิธีพิเศษ  - อยู่ระหว่างลงนามในสัญญา</v>
      </c>
      <c r="J1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3" s="508" t="str">
        <f>+[10]Sheet1!M13</f>
        <v xml:space="preserve"> - จัดหาได้ 140,000 บาท อยู่ระหว่างลงนามในสัญญา</v>
      </c>
      <c r="N13" s="410">
        <v>1</v>
      </c>
      <c r="O13" s="401"/>
      <c r="P13" s="401"/>
      <c r="Q13" s="401"/>
      <c r="R13" s="401"/>
      <c r="S13" s="401"/>
    </row>
    <row r="14" spans="1:38" s="16" customFormat="1" ht="60.75" customHeight="1" x14ac:dyDescent="0.2">
      <c r="A14" s="261">
        <v>4</v>
      </c>
      <c r="B14" s="261"/>
      <c r="C14" s="475" t="s">
        <v>176</v>
      </c>
      <c r="D14" s="261" t="s">
        <v>15</v>
      </c>
      <c r="E14" s="473" t="s">
        <v>179</v>
      </c>
      <c r="F14" s="281">
        <v>280000</v>
      </c>
      <c r="G14" s="31"/>
      <c r="H14" s="31"/>
      <c r="I14" s="508" t="str">
        <f>+[10]Sheet1!I14</f>
        <v xml:space="preserve">  - จัดหาโดยวิธีพิเศษ  - อยู่ระหว่างลงนามในสัญญา</v>
      </c>
      <c r="J14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4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4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4" s="508" t="str">
        <f>+[10]Sheet1!M14</f>
        <v xml:space="preserve"> - จัดหาได้ 280,000 บาท อยู่ระหว่างลงนามในสัญญา  </v>
      </c>
      <c r="N14" s="407">
        <v>1</v>
      </c>
      <c r="O14" s="400"/>
      <c r="P14" s="400"/>
      <c r="Q14" s="400"/>
      <c r="R14" s="400"/>
      <c r="S14" s="400"/>
    </row>
    <row r="15" spans="1:38" s="16" customFormat="1" ht="60.75" customHeight="1" x14ac:dyDescent="0.2">
      <c r="A15" s="261">
        <v>5</v>
      </c>
      <c r="B15" s="261" t="s">
        <v>15</v>
      </c>
      <c r="C15" s="475" t="s">
        <v>238</v>
      </c>
      <c r="D15" s="261" t="s">
        <v>15</v>
      </c>
      <c r="E15" s="473" t="s">
        <v>661</v>
      </c>
      <c r="F15" s="281">
        <v>22000</v>
      </c>
      <c r="G15" s="31"/>
      <c r="H15" s="31"/>
      <c r="I15" s="508">
        <f>+[10]Sheet1!I15</f>
        <v>0</v>
      </c>
      <c r="J15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5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5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5" s="508">
        <f>+[10]Sheet1!M15</f>
        <v>0</v>
      </c>
      <c r="N15" s="407"/>
      <c r="O15" s="400"/>
      <c r="P15" s="400"/>
      <c r="Q15" s="400"/>
      <c r="R15" s="400"/>
      <c r="S15" s="400"/>
    </row>
    <row r="16" spans="1:38" s="16" customFormat="1" ht="60.75" customHeight="1" x14ac:dyDescent="0.2">
      <c r="A16" s="261">
        <v>6</v>
      </c>
      <c r="B16" s="261" t="s">
        <v>15</v>
      </c>
      <c r="C16" s="475" t="s">
        <v>238</v>
      </c>
      <c r="D16" s="261" t="s">
        <v>15</v>
      </c>
      <c r="E16" s="473" t="s">
        <v>662</v>
      </c>
      <c r="F16" s="281">
        <v>81600</v>
      </c>
      <c r="G16" s="31"/>
      <c r="H16" s="31"/>
      <c r="I16" s="508">
        <f>+[10]Sheet1!I16</f>
        <v>0</v>
      </c>
      <c r="J16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6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6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6" s="508">
        <f>+[10]Sheet1!M16</f>
        <v>0</v>
      </c>
      <c r="N16" s="407"/>
      <c r="O16" s="400"/>
      <c r="P16" s="400"/>
      <c r="Q16" s="400"/>
      <c r="R16" s="400"/>
      <c r="S16" s="400"/>
    </row>
    <row r="17" spans="1:46" s="16" customFormat="1" ht="60.75" customHeight="1" x14ac:dyDescent="0.2">
      <c r="A17" s="261">
        <v>7</v>
      </c>
      <c r="B17" s="261" t="s">
        <v>15</v>
      </c>
      <c r="C17" s="475" t="s">
        <v>238</v>
      </c>
      <c r="D17" s="261" t="s">
        <v>15</v>
      </c>
      <c r="E17" s="473" t="s">
        <v>663</v>
      </c>
      <c r="F17" s="281">
        <v>92000</v>
      </c>
      <c r="G17" s="31"/>
      <c r="H17" s="31"/>
      <c r="I17" s="508">
        <f>+[10]Sheet1!I17</f>
        <v>0</v>
      </c>
      <c r="J17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7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7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7" s="508">
        <f>+[10]Sheet1!M17</f>
        <v>0</v>
      </c>
      <c r="N17" s="407"/>
      <c r="O17" s="400"/>
      <c r="P17" s="400"/>
      <c r="Q17" s="400"/>
      <c r="R17" s="400"/>
      <c r="S17" s="400"/>
    </row>
    <row r="18" spans="1:46" s="16" customFormat="1" ht="24" customHeight="1" x14ac:dyDescent="0.2">
      <c r="A18" s="14"/>
      <c r="B18" s="476"/>
      <c r="C18" s="476"/>
      <c r="D18" s="476"/>
      <c r="E18" s="477"/>
      <c r="F18" s="497"/>
      <c r="G18" s="31"/>
      <c r="H18" s="31"/>
      <c r="I18" s="31"/>
      <c r="J18" s="31"/>
      <c r="K18" s="15"/>
      <c r="L18" s="15"/>
      <c r="M18" s="31"/>
      <c r="N18" s="407"/>
      <c r="O18" s="400"/>
      <c r="P18" s="400"/>
      <c r="Q18" s="400"/>
      <c r="R18" s="400"/>
      <c r="S18" s="400"/>
    </row>
    <row r="19" spans="1:46" s="12" customFormat="1" ht="18.75" customHeight="1" x14ac:dyDescent="0.5">
      <c r="A19" s="232">
        <f>+A17</f>
        <v>7</v>
      </c>
      <c r="B19" s="232"/>
      <c r="C19" s="232"/>
      <c r="D19" s="232"/>
      <c r="E19" s="233" t="s">
        <v>58</v>
      </c>
      <c r="F19" s="297">
        <f>SUM(F11:F18)</f>
        <v>6175600</v>
      </c>
      <c r="G19" s="249">
        <f>SUM(G18:G18)</f>
        <v>0</v>
      </c>
      <c r="H19" s="249">
        <f>SUM(H18:H18)</f>
        <v>0</v>
      </c>
      <c r="I19" s="249"/>
      <c r="J19" s="249">
        <f>SUM(J18:J18)</f>
        <v>0</v>
      </c>
      <c r="K19" s="249">
        <f>SUM(K18:K18)</f>
        <v>0</v>
      </c>
      <c r="L19" s="249">
        <f>SUM(L18:L18)</f>
        <v>0</v>
      </c>
      <c r="M19" s="249"/>
      <c r="N19" s="406"/>
      <c r="O19" s="397">
        <f>+F19+G19</f>
        <v>6175600</v>
      </c>
      <c r="P19" s="398"/>
      <c r="Q19" s="398"/>
      <c r="R19" s="399"/>
      <c r="S19" s="399"/>
    </row>
    <row r="20" spans="1:46" s="16" customFormat="1" ht="19.5" customHeight="1" x14ac:dyDescent="0.2">
      <c r="A20" s="14"/>
      <c r="B20" s="14"/>
      <c r="C20" s="14"/>
      <c r="D20" s="14"/>
      <c r="E20" s="27" t="s">
        <v>59</v>
      </c>
      <c r="F20" s="31"/>
      <c r="G20" s="31"/>
      <c r="H20" s="31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6" customFormat="1" ht="250.5" customHeight="1" x14ac:dyDescent="0.2">
      <c r="A21" s="425">
        <v>1</v>
      </c>
      <c r="B21" s="424"/>
      <c r="C21" s="469" t="s">
        <v>76</v>
      </c>
      <c r="D21" s="425" t="s">
        <v>15</v>
      </c>
      <c r="E21" s="525" t="s">
        <v>180</v>
      </c>
      <c r="F21" s="526">
        <v>21331100</v>
      </c>
      <c r="G21" s="423"/>
      <c r="H21" s="423"/>
      <c r="I21" s="539" t="str">
        <f>+[10]Sheet1!I21</f>
        <v xml:space="preserve">  - จัดหาโดยวิธี e-bidding  - ภ.9 ได้แต่งตั้งคณะกรรมการกำหนดราคากลาง ตามคำสั่งที่ 362/58  ลง 2 ก.ย.58  - อยู่ระหว่างรอกำหนดผังบริเวณ จาก ยธ. (ซึ่ง ภ.9 ได้มีหนังสือ บก.อก.ภ.9 ที่ 0024.142/1435 ลง 20 ส.ค.58   และ จนท.ของ ยธ.ตร. ได้ลงมาตรวจผังบริเวณเมื่อ 23 ก.ย.58)  - อยู่ระหว่างรอกำหนดผังบริเวณจากโยธา</v>
      </c>
      <c r="J21" s="540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21" s="540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21" s="540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21" s="539" t="str">
        <f>+[10]Sheet1!M21</f>
        <v>  - จัดหาโดยวิธี e-bidding  
- ภ.9 ได้แต่งตั้งคณะกรรมการกำหนดราคากลาง ตามคำสั่งที่ 362/58  ลง 2 ก.ย.58  
- อยู่ระหว่างรอกำหนดผังบริเวณ จาก ยธ. (ซึ่ง ภ.9 ได้มีหนังสือ บก.อก.ภ.9 ที่ 0024.142/1435 ลง 20 ส.ค.58   และ จนท.ของ ยธ.ตร. ได้ลงมาตรวจผังบริเวณเมื่อ 23 ก.ย.58)  
- ภ.9 ได้รับแบบรูปรายการจาก ยธ.ตร. เมื่อ 20 พ.ย.58  
- ขณะนี้อยู่ระหว่างคณะกรรมการกำหนดราคากลาง  </v>
      </c>
      <c r="N21" s="407">
        <v>2</v>
      </c>
      <c r="O21" s="400"/>
      <c r="P21" s="400"/>
      <c r="Q21" s="400"/>
      <c r="R21" s="400"/>
      <c r="S21" s="400"/>
    </row>
    <row r="22" spans="1:46" s="16" customFormat="1" ht="165.75" customHeight="1" x14ac:dyDescent="0.2">
      <c r="A22" s="425">
        <v>2</v>
      </c>
      <c r="B22" s="425"/>
      <c r="C22" s="469" t="s">
        <v>76</v>
      </c>
      <c r="D22" s="425" t="s">
        <v>15</v>
      </c>
      <c r="E22" s="525" t="s">
        <v>181</v>
      </c>
      <c r="F22" s="526">
        <v>4180000</v>
      </c>
      <c r="G22" s="428"/>
      <c r="H22" s="428"/>
      <c r="I22" s="505" t="str">
        <f>+[10]Sheet1!I22</f>
        <v xml:space="preserve">  - อยู่ระหว่างขอรับความเห็นชอบ</v>
      </c>
      <c r="J2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2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2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22" s="505" t="str">
        <f>+[10]Sheet1!M22</f>
        <v>  - จัดหาโดยวิธี ebidding กำหนดราคากลางตามคำสั่ง ภ.จว.พัทลุง ที่ 883/2528 ลง 15 ก.ย.58  ประกาศร่างเอกสารประกวดราคา  
- อยู่ระหว่างจัดทำประกาศและเอกสารประกวดกราคาจ้างก่อสร้าง ฯ เพื่อประกาศขึ้นเว็บไซด์ จว.พัทลุง   และกรมบัญชีกลาง  </v>
      </c>
      <c r="N22" s="407">
        <v>2</v>
      </c>
      <c r="O22" s="400"/>
      <c r="P22" s="400"/>
      <c r="Q22" s="400"/>
      <c r="R22" s="400"/>
      <c r="S22" s="400"/>
    </row>
    <row r="23" spans="1:46" s="16" customFormat="1" ht="120.75" customHeight="1" x14ac:dyDescent="0.2">
      <c r="A23" s="261">
        <v>3</v>
      </c>
      <c r="B23" s="261" t="s">
        <v>15</v>
      </c>
      <c r="C23" s="475" t="s">
        <v>238</v>
      </c>
      <c r="D23" s="261" t="s">
        <v>15</v>
      </c>
      <c r="E23" s="473" t="s">
        <v>664</v>
      </c>
      <c r="F23" s="529">
        <v>200000</v>
      </c>
      <c r="G23" s="321"/>
      <c r="H23" s="321"/>
      <c r="I23" s="508">
        <f>+[10]Sheet1!I23</f>
        <v>0</v>
      </c>
      <c r="J2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2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2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23" s="508">
        <f>+[10]Sheet1!M23</f>
        <v>0</v>
      </c>
      <c r="N23" s="407"/>
      <c r="O23" s="400"/>
      <c r="P23" s="400"/>
      <c r="Q23" s="400"/>
      <c r="R23" s="400"/>
      <c r="S23" s="400"/>
    </row>
    <row r="24" spans="1:46" s="16" customFormat="1" ht="18" customHeight="1" x14ac:dyDescent="0.2">
      <c r="A24" s="14"/>
      <c r="B24" s="14"/>
      <c r="C24" s="14"/>
      <c r="D24" s="14"/>
      <c r="E24" s="477"/>
      <c r="F24" s="501"/>
      <c r="G24" s="30"/>
      <c r="H24" s="30"/>
      <c r="I24" s="31"/>
      <c r="J24" s="31"/>
      <c r="K24" s="15"/>
      <c r="L24" s="15"/>
      <c r="M24" s="31"/>
      <c r="N24" s="407"/>
      <c r="O24" s="400"/>
      <c r="P24" s="400"/>
      <c r="Q24" s="400"/>
      <c r="R24" s="400"/>
      <c r="S24" s="400"/>
    </row>
    <row r="25" spans="1:46" s="16" customFormat="1" ht="22.5" thickBot="1" x14ac:dyDescent="0.55000000000000004">
      <c r="A25" s="235">
        <f>+A23</f>
        <v>3</v>
      </c>
      <c r="B25" s="235"/>
      <c r="C25" s="235"/>
      <c r="D25" s="235"/>
      <c r="E25" s="236" t="s">
        <v>60</v>
      </c>
      <c r="F25" s="298">
        <f>SUM(F21:F24)</f>
        <v>25711100</v>
      </c>
      <c r="G25" s="237">
        <f>SUM(G20:G24)</f>
        <v>0</v>
      </c>
      <c r="H25" s="237">
        <f>SUM(H20:H24)</f>
        <v>0</v>
      </c>
      <c r="I25" s="250"/>
      <c r="J25" s="250">
        <f>SUM(J24:J24)</f>
        <v>0</v>
      </c>
      <c r="K25" s="250">
        <f>SUM(K24:K24)</f>
        <v>0</v>
      </c>
      <c r="L25" s="250">
        <f>SUM(L24:L24)</f>
        <v>0</v>
      </c>
      <c r="M25" s="250"/>
      <c r="N25" s="405"/>
      <c r="O25" s="402">
        <f>+F25+G25</f>
        <v>25711100</v>
      </c>
      <c r="P25" s="398"/>
      <c r="Q25" s="398"/>
      <c r="R25" s="400"/>
      <c r="S25" s="400"/>
    </row>
    <row r="26" spans="1:46" s="480" customFormat="1" ht="22.5" thickBot="1" x14ac:dyDescent="0.55000000000000004">
      <c r="A26" s="238">
        <f>+A19+A25</f>
        <v>10</v>
      </c>
      <c r="B26" s="239"/>
      <c r="C26" s="239"/>
      <c r="D26" s="239"/>
      <c r="E26" s="239" t="s">
        <v>182</v>
      </c>
      <c r="F26" s="299">
        <f>F19+F25</f>
        <v>31886700</v>
      </c>
      <c r="G26" s="289">
        <f>+G19+G25</f>
        <v>0</v>
      </c>
      <c r="H26" s="289">
        <f>+H19+H25</f>
        <v>0</v>
      </c>
      <c r="I26" s="240"/>
      <c r="J26" s="240">
        <f>J19+J25</f>
        <v>0</v>
      </c>
      <c r="K26" s="240">
        <f>K19+K25</f>
        <v>0</v>
      </c>
      <c r="L26" s="240">
        <f>L19+L25</f>
        <v>0</v>
      </c>
      <c r="M26" s="240"/>
      <c r="N26" s="408"/>
      <c r="O26" s="397">
        <f>+O19+O25</f>
        <v>31886700</v>
      </c>
      <c r="P26" s="479"/>
      <c r="Q26" s="479"/>
      <c r="R26" s="399"/>
      <c r="S26" s="399"/>
      <c r="T26" s="12"/>
      <c r="U26" s="12"/>
      <c r="V26" s="12"/>
      <c r="W26" s="12"/>
      <c r="X26" s="12"/>
      <c r="Y26" s="12"/>
      <c r="Z26" s="12"/>
      <c r="AA26" s="12"/>
    </row>
    <row r="27" spans="1:46" s="16" customFormat="1" x14ac:dyDescent="0.2">
      <c r="A27" s="481"/>
      <c r="B27" s="481"/>
      <c r="C27" s="481"/>
      <c r="D27" s="481"/>
      <c r="E27" s="482"/>
      <c r="F27" s="376"/>
      <c r="G27" s="375"/>
      <c r="H27" s="375"/>
      <c r="I27" s="375"/>
      <c r="J27" s="375"/>
      <c r="K27" s="376"/>
      <c r="L27" s="376"/>
      <c r="M27" s="375"/>
      <c r="N27" s="407"/>
      <c r="O27" s="400"/>
      <c r="P27" s="400"/>
      <c r="Q27" s="400"/>
      <c r="R27" s="400"/>
      <c r="S27" s="400"/>
    </row>
    <row r="28" spans="1:46" s="16" customFormat="1" x14ac:dyDescent="0.5">
      <c r="A28" s="481"/>
      <c r="B28" s="481"/>
      <c r="C28" s="481"/>
      <c r="D28" s="481"/>
      <c r="E28" s="482"/>
      <c r="F28" s="252"/>
      <c r="G28" s="375"/>
      <c r="H28" s="375"/>
      <c r="I28" s="375"/>
      <c r="J28" s="375"/>
      <c r="K28" s="376"/>
      <c r="L28" s="376"/>
      <c r="M28" s="375"/>
      <c r="N28" s="407"/>
      <c r="O28" s="400"/>
      <c r="P28" s="400"/>
      <c r="Q28" s="400"/>
      <c r="R28" s="400"/>
      <c r="S28" s="400"/>
    </row>
    <row r="30" spans="1:46" s="77" customFormat="1" ht="22.5" thickBot="1" x14ac:dyDescent="0.55000000000000004">
      <c r="A30" s="483"/>
      <c r="B30" s="483"/>
      <c r="C30" s="483"/>
      <c r="D30" s="483"/>
      <c r="E30" s="77" t="s">
        <v>64</v>
      </c>
      <c r="F30" s="253"/>
      <c r="G30" s="22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ht="22.5" thickTop="1" x14ac:dyDescent="0.5">
      <c r="A31" s="483"/>
      <c r="B31" s="483"/>
      <c r="C31" s="483"/>
      <c r="D31" s="483"/>
      <c r="E31" s="77" t="s">
        <v>65</v>
      </c>
      <c r="F31" s="262"/>
      <c r="G31" s="119"/>
      <c r="H31" s="119"/>
      <c r="I31" s="119"/>
      <c r="J31" s="119"/>
      <c r="K31" s="484"/>
      <c r="L31" s="484"/>
      <c r="M31" s="119"/>
      <c r="N31" s="465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E32" s="77" t="s">
        <v>66</v>
      </c>
      <c r="F32" s="262"/>
      <c r="G32" s="119"/>
      <c r="H32" s="119"/>
      <c r="I32" s="119"/>
      <c r="J32" s="119"/>
      <c r="K32" s="484"/>
      <c r="L32" s="484"/>
      <c r="M32" s="119"/>
      <c r="N32" s="465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E33" s="77" t="s">
        <v>67</v>
      </c>
      <c r="F33" s="262"/>
      <c r="G33" s="119"/>
      <c r="H33" s="119"/>
      <c r="I33" s="119"/>
      <c r="J33" s="119"/>
      <c r="K33" s="484"/>
      <c r="L33" s="484"/>
      <c r="M33" s="119"/>
      <c r="N33" s="465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</sheetData>
  <autoFilter ref="N1:N33"/>
  <mergeCells count="20">
    <mergeCell ref="F4:G4"/>
    <mergeCell ref="G6:G8"/>
    <mergeCell ref="M5:M8"/>
    <mergeCell ref="A1:M1"/>
    <mergeCell ref="A2:M2"/>
    <mergeCell ref="A3:M3"/>
    <mergeCell ref="C5:C8"/>
    <mergeCell ref="E5:E8"/>
    <mergeCell ref="F5:H5"/>
    <mergeCell ref="H6:H8"/>
    <mergeCell ref="I5:I8"/>
    <mergeCell ref="J5:J8"/>
    <mergeCell ref="Q5:Q8"/>
    <mergeCell ref="P5:P8"/>
    <mergeCell ref="A5:A8"/>
    <mergeCell ref="B5:B8"/>
    <mergeCell ref="D5:D8"/>
    <mergeCell ref="F6:F8"/>
    <mergeCell ref="K5:K8"/>
    <mergeCell ref="L5:L8"/>
  </mergeCells>
  <phoneticPr fontId="2" type="noConversion"/>
  <conditionalFormatting sqref="F11:F14 F22">
    <cfRule type="cellIs" dxfId="96" priority="4" stopIfTrue="1" operator="between">
      <formula>2000001</formula>
      <formula>500000000</formula>
    </cfRule>
  </conditionalFormatting>
  <conditionalFormatting sqref="F21">
    <cfRule type="cellIs" dxfId="95" priority="3" stopIfTrue="1" operator="between">
      <formula>2000001</formula>
      <formula>500000000</formula>
    </cfRule>
  </conditionalFormatting>
  <conditionalFormatting sqref="F15:F17">
    <cfRule type="cellIs" dxfId="94" priority="2" stopIfTrue="1" operator="between">
      <formula>2000001</formula>
      <formula>500000000</formula>
    </cfRule>
  </conditionalFormatting>
  <conditionalFormatting sqref="F23">
    <cfRule type="cellIs" dxfId="93" priority="1" stopIfTrue="1" operator="between">
      <formula>2000001</formula>
      <formula>500000000</formula>
    </cfRule>
  </conditionalFormatting>
  <pageMargins left="0.55118110236220474" right="0.55118110236220474" top="0.6692913385826772" bottom="0.59055118110236227" header="0.51181102362204722" footer="0.51181102362204722"/>
  <pageSetup paperSize="9" scale="80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62"/>
  <sheetViews>
    <sheetView topLeftCell="A43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" style="486" customWidth="1"/>
    <col min="4" max="4" width="8.42578125" style="486" customWidth="1"/>
    <col min="5" max="5" width="47" style="460" customWidth="1"/>
    <col min="6" max="6" width="15.140625" style="487" customWidth="1"/>
    <col min="7" max="7" width="13.5703125" style="488" customWidth="1"/>
    <col min="8" max="8" width="13.5703125" style="488" hidden="1" customWidth="1"/>
    <col min="9" max="9" width="34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4.8554687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3.140625" style="399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8</v>
      </c>
      <c r="Q2" s="397">
        <f>+F11+F16+F17+F18+F19+F20+F21+F22</f>
        <v>5946000</v>
      </c>
      <c r="R2" s="523">
        <v>14</v>
      </c>
      <c r="S2" s="397" t="e">
        <f>+F41+F42+#REF!+#REF!+#REF!+#REF!+F44+#REF!+F45+F47+F48+F49+F51</f>
        <v>#REF!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67" t="s">
        <v>71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404"/>
      <c r="O3" s="400" t="s">
        <v>72</v>
      </c>
      <c r="P3" s="461">
        <v>4</v>
      </c>
      <c r="Q3" s="462">
        <f>+F12+F13+F14+F15</f>
        <v>48200000</v>
      </c>
      <c r="R3" s="463">
        <v>26</v>
      </c>
      <c r="S3" s="462" t="e">
        <f>+#REF!+F29+F30+F31+F32+F33+F34+F35+F36+F37+F38+F39+F40+#REF!+#REF!+#REF!+#REF!+F46+F50+#REF!+#REF!+#REF!+#REF!+#REF!+#REF!+F52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542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64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65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65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66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16</v>
      </c>
      <c r="F9" s="247"/>
      <c r="G9" s="100"/>
      <c r="H9" s="100"/>
      <c r="I9" s="100"/>
      <c r="J9" s="264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263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08.75" x14ac:dyDescent="0.2">
      <c r="A11" s="14">
        <v>1</v>
      </c>
      <c r="B11" s="14"/>
      <c r="C11" s="543" t="s">
        <v>183</v>
      </c>
      <c r="D11" s="261" t="s">
        <v>16</v>
      </c>
      <c r="E11" s="473" t="s">
        <v>184</v>
      </c>
      <c r="F11" s="281">
        <v>750000</v>
      </c>
      <c r="G11" s="31"/>
      <c r="H11" s="31"/>
      <c r="I11" s="508" t="str">
        <f>+[11]ศชต.!I11</f>
        <v xml:space="preserve">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</v>
      </c>
      <c r="J11" s="551"/>
      <c r="K11" s="508"/>
      <c r="L11" s="508"/>
      <c r="M11" s="508" t="str">
        <f>+[11]ศชต.!M11</f>
        <v xml:space="preserve">  อยู่ระหว่างคณะกรรมการจัดซื้อโดยวิธีพิเศษพิจารณาผล สามารถทำสัญญาได้ภายในเดือน พ.ย.58  </v>
      </c>
      <c r="N11" s="407">
        <v>1</v>
      </c>
      <c r="O11" s="400"/>
      <c r="P11" s="400"/>
      <c r="Q11" s="400"/>
      <c r="R11" s="400"/>
      <c r="S11" s="400"/>
    </row>
    <row r="12" spans="1:38" s="16" customFormat="1" ht="130.5" x14ac:dyDescent="0.2">
      <c r="A12" s="425">
        <v>2</v>
      </c>
      <c r="B12" s="425"/>
      <c r="C12" s="544" t="s">
        <v>185</v>
      </c>
      <c r="D12" s="425" t="s">
        <v>16</v>
      </c>
      <c r="E12" s="470" t="s">
        <v>186</v>
      </c>
      <c r="F12" s="426">
        <v>4820000</v>
      </c>
      <c r="G12" s="426"/>
      <c r="H12" s="426"/>
      <c r="I12" s="505" t="str">
        <f>+[11]ศชต.!I12</f>
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 </v>
      </c>
      <c r="J12" s="552"/>
      <c r="K12" s="505"/>
      <c r="L12" s="505"/>
      <c r="M12" s="505" t="str">
        <f>+[11]ศชต.!M12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</c>
      <c r="N12" s="407">
        <v>2</v>
      </c>
      <c r="O12" s="400"/>
      <c r="P12" s="400"/>
      <c r="Q12" s="400"/>
      <c r="R12" s="400"/>
      <c r="S12" s="400"/>
    </row>
    <row r="13" spans="1:38" s="16" customFormat="1" ht="130.5" x14ac:dyDescent="0.2">
      <c r="A13" s="424">
        <v>3</v>
      </c>
      <c r="B13" s="425"/>
      <c r="C13" s="544" t="s">
        <v>185</v>
      </c>
      <c r="D13" s="425" t="s">
        <v>16</v>
      </c>
      <c r="E13" s="470" t="s">
        <v>187</v>
      </c>
      <c r="F13" s="426">
        <v>14460000</v>
      </c>
      <c r="G13" s="426"/>
      <c r="H13" s="426"/>
      <c r="I13" s="505" t="str">
        <f>+[11]ศชต.!I13</f>
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 เมื่อได้รับการอนุมัติคาดว่าจะลงนามสัญญาได้ภายใน 31 ธ.ค.58   </v>
      </c>
      <c r="J13" s="552"/>
      <c r="K13" s="505"/>
      <c r="L13" s="505"/>
      <c r="M13" s="505" t="str">
        <f>+[11]ศชต.!M13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</c>
      <c r="N13" s="407">
        <v>2</v>
      </c>
      <c r="O13" s="400"/>
      <c r="P13" s="400"/>
      <c r="Q13" s="400"/>
      <c r="R13" s="400"/>
      <c r="S13" s="400"/>
    </row>
    <row r="14" spans="1:38" s="16" customFormat="1" ht="130.5" x14ac:dyDescent="0.2">
      <c r="A14" s="425">
        <v>4</v>
      </c>
      <c r="B14" s="425"/>
      <c r="C14" s="544" t="s">
        <v>185</v>
      </c>
      <c r="D14" s="425" t="s">
        <v>16</v>
      </c>
      <c r="E14" s="470" t="s">
        <v>188</v>
      </c>
      <c r="F14" s="426">
        <v>14460000</v>
      </c>
      <c r="G14" s="426"/>
      <c r="H14" s="426"/>
      <c r="I14" s="505" t="str">
        <f>+[11]ศชต.!I14</f>
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</c>
      <c r="J14" s="552"/>
      <c r="K14" s="505"/>
      <c r="L14" s="505"/>
      <c r="M14" s="505" t="str">
        <f>+[11]ศชต.!M14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ธ.ค.28  </v>
      </c>
      <c r="N14" s="407">
        <v>2</v>
      </c>
      <c r="O14" s="400"/>
      <c r="P14" s="400"/>
      <c r="Q14" s="400"/>
      <c r="R14" s="400"/>
      <c r="S14" s="400"/>
    </row>
    <row r="15" spans="1:38" s="16" customFormat="1" ht="130.5" x14ac:dyDescent="0.2">
      <c r="A15" s="424">
        <v>5</v>
      </c>
      <c r="B15" s="425"/>
      <c r="C15" s="544" t="s">
        <v>185</v>
      </c>
      <c r="D15" s="425" t="s">
        <v>16</v>
      </c>
      <c r="E15" s="470" t="s">
        <v>189</v>
      </c>
      <c r="F15" s="426">
        <v>14460000</v>
      </c>
      <c r="G15" s="426"/>
      <c r="H15" s="426"/>
      <c r="I15" s="505" t="str">
        <f>+[11]ศชต.!I15</f>
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</c>
      <c r="J15" s="552"/>
      <c r="K15" s="505"/>
      <c r="L15" s="505"/>
      <c r="M15" s="505" t="str">
        <f>+[11]ศชต.!M15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</c>
      <c r="N15" s="407">
        <v>2</v>
      </c>
      <c r="O15" s="400"/>
      <c r="P15" s="400"/>
      <c r="Q15" s="400"/>
      <c r="R15" s="400"/>
      <c r="S15" s="400"/>
    </row>
    <row r="16" spans="1:38" s="16" customFormat="1" ht="63.75" customHeight="1" x14ac:dyDescent="0.2">
      <c r="A16" s="261">
        <v>6</v>
      </c>
      <c r="B16" s="261"/>
      <c r="C16" s="543" t="s">
        <v>185</v>
      </c>
      <c r="D16" s="261" t="s">
        <v>16</v>
      </c>
      <c r="E16" s="473" t="s">
        <v>190</v>
      </c>
      <c r="F16" s="281">
        <v>1925000</v>
      </c>
      <c r="G16" s="281"/>
      <c r="H16" s="281"/>
      <c r="I16" s="508" t="str">
        <f>+[11]ศชต.!I16</f>
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</c>
      <c r="J16" s="551"/>
      <c r="K16" s="508"/>
      <c r="L16" s="508"/>
      <c r="M16" s="508" t="str">
        <f>+[11]ศชต.!M16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</c>
      <c r="N16" s="407">
        <v>1</v>
      </c>
      <c r="O16" s="402">
        <f>SUM(F16:F21)</f>
        <v>3596000</v>
      </c>
      <c r="P16" s="400"/>
      <c r="Q16" s="400"/>
      <c r="R16" s="400"/>
      <c r="S16" s="400"/>
    </row>
    <row r="17" spans="1:19" s="16" customFormat="1" ht="108.75" x14ac:dyDescent="0.2">
      <c r="A17" s="14">
        <v>7</v>
      </c>
      <c r="B17" s="261"/>
      <c r="C17" s="475" t="s">
        <v>80</v>
      </c>
      <c r="D17" s="261" t="s">
        <v>16</v>
      </c>
      <c r="E17" s="473" t="s">
        <v>191</v>
      </c>
      <c r="F17" s="281">
        <v>330000</v>
      </c>
      <c r="G17" s="281"/>
      <c r="H17" s="281"/>
      <c r="I17" s="508" t="str">
        <f>+[11]ศชต.!I17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17" s="551"/>
      <c r="K17" s="508"/>
      <c r="L17" s="508"/>
      <c r="M17" s="508" t="str">
        <f>+[11]ศชต.!M17</f>
        <v xml:space="preserve">   อยู่ระหว่างคณะกรรมการจัดซื้อโดยวิธีพิเศษพิจารณาผล สามารถทำสัญญาได้ภายในเดือน พ.ย.58  </v>
      </c>
      <c r="N17" s="407">
        <v>1</v>
      </c>
      <c r="O17" s="400"/>
      <c r="P17" s="400"/>
      <c r="Q17" s="400"/>
      <c r="R17" s="400"/>
      <c r="S17" s="400"/>
    </row>
    <row r="18" spans="1:19" s="16" customFormat="1" ht="108.75" x14ac:dyDescent="0.2">
      <c r="A18" s="261">
        <v>8</v>
      </c>
      <c r="B18" s="261"/>
      <c r="C18" s="475" t="s">
        <v>80</v>
      </c>
      <c r="D18" s="261" t="s">
        <v>16</v>
      </c>
      <c r="E18" s="473" t="s">
        <v>192</v>
      </c>
      <c r="F18" s="281">
        <v>126000</v>
      </c>
      <c r="G18" s="281"/>
      <c r="H18" s="281"/>
      <c r="I18" s="508" t="str">
        <f>+[11]ศชต.!I18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18" s="551"/>
      <c r="K18" s="508"/>
      <c r="L18" s="508"/>
      <c r="M18" s="508" t="str">
        <f>+[11]ศชต.!M18</f>
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</c>
      <c r="N18" s="407">
        <v>1</v>
      </c>
      <c r="O18" s="400"/>
      <c r="P18" s="400"/>
      <c r="Q18" s="400"/>
      <c r="R18" s="400"/>
      <c r="S18" s="400"/>
    </row>
    <row r="19" spans="1:19" s="16" customFormat="1" ht="108.75" x14ac:dyDescent="0.2">
      <c r="A19" s="14">
        <v>9</v>
      </c>
      <c r="B19" s="261"/>
      <c r="C19" s="475" t="s">
        <v>80</v>
      </c>
      <c r="D19" s="261" t="s">
        <v>16</v>
      </c>
      <c r="E19" s="473" t="s">
        <v>193</v>
      </c>
      <c r="F19" s="281">
        <v>690000</v>
      </c>
      <c r="G19" s="281"/>
      <c r="H19" s="281"/>
      <c r="I19" s="508" t="str">
        <f>+[11]ศชต.!I19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19" s="551"/>
      <c r="K19" s="508"/>
      <c r="L19" s="508"/>
      <c r="M19" s="508" t="str">
        <f>+[11]ศชต.!M19</f>
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</c>
      <c r="N19" s="407">
        <v>1</v>
      </c>
      <c r="O19" s="400"/>
      <c r="P19" s="400"/>
      <c r="Q19" s="400"/>
      <c r="R19" s="400"/>
      <c r="S19" s="400"/>
    </row>
    <row r="20" spans="1:19" s="16" customFormat="1" ht="108.75" x14ac:dyDescent="0.2">
      <c r="A20" s="261">
        <v>10</v>
      </c>
      <c r="B20" s="261"/>
      <c r="C20" s="475" t="s">
        <v>80</v>
      </c>
      <c r="D20" s="261" t="s">
        <v>16</v>
      </c>
      <c r="E20" s="473" t="s">
        <v>194</v>
      </c>
      <c r="F20" s="281">
        <v>189000</v>
      </c>
      <c r="G20" s="281"/>
      <c r="H20" s="281"/>
      <c r="I20" s="508" t="str">
        <f>+[11]ศชต.!I20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20" s="551"/>
      <c r="K20" s="508"/>
      <c r="L20" s="508"/>
      <c r="M20" s="508" t="str">
        <f>+[11]ศชต.!M20</f>
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</c>
      <c r="N20" s="407">
        <v>1</v>
      </c>
      <c r="O20" s="400"/>
      <c r="P20" s="400"/>
      <c r="Q20" s="400"/>
      <c r="R20" s="400"/>
      <c r="S20" s="400"/>
    </row>
    <row r="21" spans="1:19" s="16" customFormat="1" ht="108.75" x14ac:dyDescent="0.2">
      <c r="A21" s="14">
        <v>11</v>
      </c>
      <c r="B21" s="261"/>
      <c r="C21" s="475" t="s">
        <v>176</v>
      </c>
      <c r="D21" s="261" t="s">
        <v>16</v>
      </c>
      <c r="E21" s="473" t="s">
        <v>195</v>
      </c>
      <c r="F21" s="281">
        <v>336000</v>
      </c>
      <c r="G21" s="281"/>
      <c r="H21" s="281"/>
      <c r="I21" s="508" t="str">
        <f>+[11]ศชต.!I21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21" s="551"/>
      <c r="K21" s="508"/>
      <c r="L21" s="508"/>
      <c r="M21" s="508" t="str">
        <f>+[11]ศชต.!M21</f>
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</c>
      <c r="N21" s="407">
        <v>1</v>
      </c>
      <c r="O21" s="400"/>
      <c r="P21" s="400"/>
      <c r="Q21" s="400"/>
      <c r="R21" s="400"/>
      <c r="S21" s="400"/>
    </row>
    <row r="22" spans="1:19" s="16" customFormat="1" ht="130.5" x14ac:dyDescent="0.2">
      <c r="A22" s="261">
        <v>12</v>
      </c>
      <c r="B22" s="261"/>
      <c r="C22" s="475" t="s">
        <v>98</v>
      </c>
      <c r="D22" s="261" t="s">
        <v>16</v>
      </c>
      <c r="E22" s="473" t="s">
        <v>196</v>
      </c>
      <c r="F22" s="281">
        <v>1600000</v>
      </c>
      <c r="G22" s="281"/>
      <c r="H22" s="281"/>
      <c r="I22" s="508" t="str">
        <f>+[11]ศชต.!I22</f>
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0025.142.142/11616 ลง 31 ต.ค.๕๘ เมื่อได้รับการอนุมัติคาดว่าจะลงนามสัญญาได้ภายใน 31 ธ.ค.๕๘  </v>
      </c>
      <c r="J22" s="551"/>
      <c r="K22" s="508"/>
      <c r="L22" s="508"/>
      <c r="M22" s="508" t="str">
        <f>+[11]ศชต.!M22</f>
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</c>
      <c r="N22" s="407">
        <v>1</v>
      </c>
      <c r="O22" s="400"/>
      <c r="P22" s="400"/>
      <c r="Q22" s="400"/>
      <c r="R22" s="400"/>
      <c r="S22" s="400"/>
    </row>
    <row r="23" spans="1:19" s="16" customFormat="1" ht="105" x14ac:dyDescent="0.2">
      <c r="A23" s="261">
        <v>13</v>
      </c>
      <c r="B23" s="261"/>
      <c r="C23" s="475" t="s">
        <v>238</v>
      </c>
      <c r="D23" s="261"/>
      <c r="E23" s="473" t="s">
        <v>661</v>
      </c>
      <c r="F23" s="281">
        <v>16500</v>
      </c>
      <c r="G23" s="281"/>
      <c r="H23" s="281"/>
      <c r="I23" s="508">
        <f>+[11]ศชต.!I23</f>
        <v>0</v>
      </c>
      <c r="J23" s="551"/>
      <c r="K23" s="508"/>
      <c r="L23" s="508"/>
      <c r="M23" s="508">
        <f>+[11]ศชต.!M23</f>
        <v>0</v>
      </c>
      <c r="N23" s="407"/>
      <c r="O23" s="400"/>
      <c r="P23" s="400"/>
      <c r="Q23" s="400"/>
      <c r="R23" s="400"/>
      <c r="S23" s="400"/>
    </row>
    <row r="24" spans="1:19" s="16" customFormat="1" ht="105" x14ac:dyDescent="0.2">
      <c r="A24" s="14">
        <v>14</v>
      </c>
      <c r="B24" s="261"/>
      <c r="C24" s="475" t="s">
        <v>238</v>
      </c>
      <c r="D24" s="261"/>
      <c r="E24" s="473" t="s">
        <v>662</v>
      </c>
      <c r="F24" s="281">
        <v>61200</v>
      </c>
      <c r="G24" s="281"/>
      <c r="H24" s="281"/>
      <c r="I24" s="508">
        <f>+[11]ศชต.!I24</f>
        <v>0</v>
      </c>
      <c r="J24" s="551"/>
      <c r="K24" s="508"/>
      <c r="L24" s="508"/>
      <c r="M24" s="508">
        <f>+[11]ศชต.!M24</f>
        <v>0</v>
      </c>
      <c r="N24" s="407"/>
      <c r="O24" s="400"/>
      <c r="P24" s="400"/>
      <c r="Q24" s="400"/>
      <c r="R24" s="400"/>
      <c r="S24" s="400"/>
    </row>
    <row r="25" spans="1:19" s="16" customFormat="1" ht="105" x14ac:dyDescent="0.2">
      <c r="A25" s="261">
        <v>15</v>
      </c>
      <c r="B25" s="261"/>
      <c r="C25" s="475" t="s">
        <v>238</v>
      </c>
      <c r="D25" s="261"/>
      <c r="E25" s="473" t="s">
        <v>663</v>
      </c>
      <c r="F25" s="281">
        <v>69000</v>
      </c>
      <c r="G25" s="281"/>
      <c r="H25" s="281"/>
      <c r="I25" s="508">
        <f>+[11]ศชต.!I25</f>
        <v>0</v>
      </c>
      <c r="J25" s="551"/>
      <c r="K25" s="508"/>
      <c r="L25" s="508"/>
      <c r="M25" s="508">
        <f>+[11]ศชต.!M25</f>
        <v>0</v>
      </c>
      <c r="N25" s="407"/>
      <c r="O25" s="400"/>
      <c r="P25" s="400"/>
      <c r="Q25" s="400"/>
      <c r="R25" s="400"/>
      <c r="S25" s="400"/>
    </row>
    <row r="26" spans="1:19" s="284" customFormat="1" x14ac:dyDescent="0.2">
      <c r="A26" s="261"/>
      <c r="B26" s="261"/>
      <c r="C26" s="472"/>
      <c r="D26" s="261"/>
      <c r="E26" s="320"/>
      <c r="F26" s="474"/>
      <c r="G26" s="321"/>
      <c r="H26" s="321"/>
      <c r="I26" s="546"/>
      <c r="J26" s="285"/>
      <c r="K26" s="283"/>
      <c r="L26" s="283"/>
      <c r="M26" s="546"/>
      <c r="N26" s="410"/>
      <c r="O26" s="401"/>
      <c r="P26" s="401"/>
      <c r="Q26" s="401"/>
      <c r="R26" s="401"/>
      <c r="S26" s="401"/>
    </row>
    <row r="27" spans="1:19" s="12" customFormat="1" x14ac:dyDescent="0.5">
      <c r="A27" s="232">
        <f>+A25</f>
        <v>15</v>
      </c>
      <c r="B27" s="232"/>
      <c r="C27" s="232"/>
      <c r="D27" s="232"/>
      <c r="E27" s="233" t="s">
        <v>58</v>
      </c>
      <c r="F27" s="297">
        <f>SUM(F11:F26)</f>
        <v>54292700</v>
      </c>
      <c r="G27" s="234">
        <f>SUM(G26:G26)</f>
        <v>0</v>
      </c>
      <c r="H27" s="234">
        <f>SUM(H26:H26)</f>
        <v>0</v>
      </c>
      <c r="I27" s="249"/>
      <c r="J27" s="265">
        <f>SUM(J26:J26)</f>
        <v>0</v>
      </c>
      <c r="K27" s="249">
        <f>SUM(K26:K26)</f>
        <v>0</v>
      </c>
      <c r="L27" s="249">
        <f>SUM(L26:L26)</f>
        <v>0</v>
      </c>
      <c r="M27" s="249"/>
      <c r="N27" s="406"/>
      <c r="O27" s="397">
        <f>+F27+G27</f>
        <v>54292700</v>
      </c>
      <c r="P27" s="398"/>
      <c r="Q27" s="398"/>
      <c r="R27" s="399"/>
      <c r="S27" s="399"/>
    </row>
    <row r="28" spans="1:19" s="16" customFormat="1" x14ac:dyDescent="0.2">
      <c r="A28" s="14"/>
      <c r="B28" s="14"/>
      <c r="C28" s="14"/>
      <c r="D28" s="14"/>
      <c r="E28" s="27" t="s">
        <v>59</v>
      </c>
      <c r="F28" s="304"/>
      <c r="G28" s="31"/>
      <c r="H28" s="31"/>
      <c r="I28" s="31"/>
      <c r="J28" s="263"/>
      <c r="K28" s="15"/>
      <c r="L28" s="15"/>
      <c r="M28" s="31"/>
      <c r="N28" s="407"/>
      <c r="O28" s="400"/>
      <c r="P28" s="400"/>
      <c r="Q28" s="400"/>
      <c r="R28" s="400"/>
      <c r="S28" s="400"/>
    </row>
    <row r="29" spans="1:19" s="16" customFormat="1" ht="54.75" customHeight="1" x14ac:dyDescent="0.2">
      <c r="A29" s="425">
        <v>1</v>
      </c>
      <c r="B29" s="425"/>
      <c r="C29" s="547" t="s">
        <v>185</v>
      </c>
      <c r="D29" s="425" t="s">
        <v>16</v>
      </c>
      <c r="E29" s="470" t="s">
        <v>197</v>
      </c>
      <c r="F29" s="471">
        <v>22314100</v>
      </c>
      <c r="G29" s="428"/>
      <c r="H29" s="428"/>
      <c r="I29" s="505" t="str">
        <f>+[11]ศชต.!I29</f>
        <v xml:space="preserve">  อยู่ระหว่างการประสานโยธาธิการจังหวัดเป็นกรรมการกำหนดราคากลาง </v>
      </c>
      <c r="J29" s="552"/>
      <c r="K29" s="505"/>
      <c r="L29" s="505"/>
      <c r="M29" s="505" t="str">
        <f>+[11]ศชต.!M29</f>
        <v xml:space="preserve"> อยู่ระหว่างรอแบบรูปรายการ จาก ยธ.สกบ. เพื่อกำหนดราคากลาง </v>
      </c>
      <c r="N29" s="407">
        <v>2</v>
      </c>
      <c r="O29" s="400"/>
      <c r="P29" s="400"/>
      <c r="Q29" s="400"/>
      <c r="R29" s="400"/>
      <c r="S29" s="400"/>
    </row>
    <row r="30" spans="1:19" s="16" customFormat="1" ht="68.25" customHeight="1" x14ac:dyDescent="0.2">
      <c r="A30" s="425">
        <v>2</v>
      </c>
      <c r="B30" s="425"/>
      <c r="C30" s="547" t="s">
        <v>185</v>
      </c>
      <c r="D30" s="425" t="s">
        <v>16</v>
      </c>
      <c r="E30" s="470" t="s">
        <v>198</v>
      </c>
      <c r="F30" s="471">
        <v>22314100</v>
      </c>
      <c r="G30" s="428"/>
      <c r="H30" s="428"/>
      <c r="I30" s="505" t="str">
        <f>+[11]ศชต.!I30</f>
        <v xml:space="preserve"> อยู่ระหว่างการประสานโยธาธิการจังหวัดเป็นกรรมการกำหนดราคากลาง </v>
      </c>
      <c r="J30" s="552"/>
      <c r="K30" s="505"/>
      <c r="L30" s="505"/>
      <c r="M30" s="505" t="str">
        <f>+[11]ศชต.!M30</f>
        <v xml:space="preserve"> อยู่ระหว่างรอแบบรูปรายการ จาก ยธ.สกบ. เพื่อกำหนดราคากลาง </v>
      </c>
      <c r="N30" s="407">
        <v>2</v>
      </c>
      <c r="O30" s="400"/>
      <c r="P30" s="400"/>
      <c r="Q30" s="400"/>
      <c r="R30" s="400"/>
      <c r="S30" s="400"/>
    </row>
    <row r="31" spans="1:19" s="16" customFormat="1" ht="46.5" customHeight="1" x14ac:dyDescent="0.2">
      <c r="A31" s="425">
        <v>3</v>
      </c>
      <c r="B31" s="425"/>
      <c r="C31" s="547" t="s">
        <v>185</v>
      </c>
      <c r="D31" s="425" t="s">
        <v>16</v>
      </c>
      <c r="E31" s="470" t="s">
        <v>199</v>
      </c>
      <c r="F31" s="471">
        <v>22314100</v>
      </c>
      <c r="G31" s="428"/>
      <c r="H31" s="428"/>
      <c r="I31" s="505" t="str">
        <f>+[11]ศชต.!I31</f>
        <v xml:space="preserve"> อยู่ระหว่างการประสานโยธาธิการจังหวัดเป็นกรรมการกำหนดราคากลาง </v>
      </c>
      <c r="J31" s="552"/>
      <c r="K31" s="505"/>
      <c r="L31" s="505"/>
      <c r="M31" s="505" t="str">
        <f>+[11]ศชต.!M31</f>
        <v xml:space="preserve"> อยู่ระหว่างรอแบบรูปรายการ จาก ยธ.สกบ. เพื่อกำหนดราคากลาง </v>
      </c>
      <c r="N31" s="407">
        <v>2</v>
      </c>
      <c r="O31" s="400"/>
      <c r="P31" s="400"/>
      <c r="Q31" s="400"/>
      <c r="R31" s="400"/>
      <c r="S31" s="400"/>
    </row>
    <row r="32" spans="1:19" s="16" customFormat="1" ht="71.25" customHeight="1" x14ac:dyDescent="0.2">
      <c r="A32" s="425">
        <v>4</v>
      </c>
      <c r="B32" s="425"/>
      <c r="C32" s="547" t="s">
        <v>185</v>
      </c>
      <c r="D32" s="425" t="s">
        <v>16</v>
      </c>
      <c r="E32" s="470" t="s">
        <v>200</v>
      </c>
      <c r="F32" s="471">
        <v>22314100</v>
      </c>
      <c r="G32" s="428"/>
      <c r="H32" s="428"/>
      <c r="I32" s="505" t="str">
        <f>+[11]ศชต.!I32</f>
        <v xml:space="preserve"> อยู่ระหว่างการประสานโยธาธิการจังหวัดเป็นกรรมการกำหนดราคากลาง </v>
      </c>
      <c r="J32" s="552"/>
      <c r="K32" s="505"/>
      <c r="L32" s="505"/>
      <c r="M32" s="505" t="str">
        <f>+[11]ศชต.!M32</f>
        <v xml:space="preserve"> อยู่ระหว่างรอแบบรูปรายการ จาก ยธ.สกบ. เพื่อกำหนดราคากลาง </v>
      </c>
      <c r="N32" s="407">
        <v>2</v>
      </c>
      <c r="O32" s="400"/>
      <c r="P32" s="400"/>
      <c r="Q32" s="400"/>
      <c r="R32" s="400"/>
      <c r="S32" s="400"/>
    </row>
    <row r="33" spans="1:19" s="16" customFormat="1" ht="67.5" customHeight="1" x14ac:dyDescent="0.2">
      <c r="A33" s="425">
        <v>5</v>
      </c>
      <c r="B33" s="425"/>
      <c r="C33" s="547" t="s">
        <v>185</v>
      </c>
      <c r="D33" s="425" t="s">
        <v>16</v>
      </c>
      <c r="E33" s="470" t="s">
        <v>201</v>
      </c>
      <c r="F33" s="471">
        <v>22700000</v>
      </c>
      <c r="G33" s="428"/>
      <c r="H33" s="428"/>
      <c r="I33" s="505" t="str">
        <f>+[11]ศชต.!I33</f>
        <v xml:space="preserve"> อยู่ระหว่างการประสานโยธาธิการจังหวัดเป็นกรรมการกำหนดราคากลาง </v>
      </c>
      <c r="J33" s="552"/>
      <c r="K33" s="505"/>
      <c r="L33" s="505"/>
      <c r="M33" s="505" t="str">
        <f>+[11]ศชต.!M33</f>
        <v xml:space="preserve"> อยู่ระหว่างรอแบบรูปรายการ จาก ยธ.สกบ. เพื่อกำหนดราคากลาง </v>
      </c>
      <c r="N33" s="407">
        <v>2</v>
      </c>
      <c r="O33" s="400"/>
      <c r="P33" s="400"/>
      <c r="Q33" s="400"/>
      <c r="R33" s="400"/>
      <c r="S33" s="400"/>
    </row>
    <row r="34" spans="1:19" s="16" customFormat="1" ht="51" customHeight="1" x14ac:dyDescent="0.2">
      <c r="A34" s="425">
        <v>6</v>
      </c>
      <c r="B34" s="425"/>
      <c r="C34" s="547" t="s">
        <v>185</v>
      </c>
      <c r="D34" s="425" t="s">
        <v>16</v>
      </c>
      <c r="E34" s="470" t="s">
        <v>202</v>
      </c>
      <c r="F34" s="471">
        <v>22314100</v>
      </c>
      <c r="G34" s="428"/>
      <c r="H34" s="428"/>
      <c r="I34" s="505" t="str">
        <f>+[11]ศชต.!I34</f>
        <v xml:space="preserve"> อยู่ระหว่างการประสานโยธาธิการจังหวัดเป็นกรรมการกำหนดราคากลาง </v>
      </c>
      <c r="J34" s="552"/>
      <c r="K34" s="505"/>
      <c r="L34" s="505"/>
      <c r="M34" s="505" t="str">
        <f>+[11]ศชต.!M34</f>
        <v xml:space="preserve"> อยู่ระหว่างรอแบบรูปรายการ จาก ยธ.สกบ. เพื่อกำหนดราคากลาง </v>
      </c>
      <c r="N34" s="407">
        <v>2</v>
      </c>
      <c r="O34" s="400"/>
      <c r="P34" s="400"/>
      <c r="Q34" s="400"/>
      <c r="R34" s="400"/>
      <c r="S34" s="400"/>
    </row>
    <row r="35" spans="1:19" s="16" customFormat="1" ht="66.75" customHeight="1" x14ac:dyDescent="0.2">
      <c r="A35" s="425">
        <v>7</v>
      </c>
      <c r="B35" s="425"/>
      <c r="C35" s="547" t="s">
        <v>185</v>
      </c>
      <c r="D35" s="425" t="s">
        <v>16</v>
      </c>
      <c r="E35" s="470" t="s">
        <v>203</v>
      </c>
      <c r="F35" s="471">
        <v>22314100</v>
      </c>
      <c r="G35" s="428"/>
      <c r="H35" s="428"/>
      <c r="I35" s="505" t="str">
        <f>+[11]ศชต.!I35</f>
        <v xml:space="preserve"> อยู่ระหว่างการประสานโยธาธิการจังหวัดเป็นกรรมการกำหนดราคากลาง </v>
      </c>
      <c r="J35" s="552"/>
      <c r="K35" s="505"/>
      <c r="L35" s="505"/>
      <c r="M35" s="505" t="str">
        <f>+[11]ศชต.!M35</f>
        <v xml:space="preserve"> อยู่ระหว่างรอแบบรูปรายการ จาก ยธ.สกบ. เพื่อกำหนดราคากลาง </v>
      </c>
      <c r="N35" s="407">
        <v>2</v>
      </c>
      <c r="O35" s="400"/>
      <c r="P35" s="400"/>
      <c r="Q35" s="400"/>
      <c r="R35" s="400"/>
      <c r="S35" s="400"/>
    </row>
    <row r="36" spans="1:19" s="16" customFormat="1" ht="51" customHeight="1" x14ac:dyDescent="0.2">
      <c r="A36" s="425">
        <v>8</v>
      </c>
      <c r="B36" s="425"/>
      <c r="C36" s="547" t="s">
        <v>185</v>
      </c>
      <c r="D36" s="425" t="s">
        <v>16</v>
      </c>
      <c r="E36" s="470" t="s">
        <v>204</v>
      </c>
      <c r="F36" s="471">
        <v>29490000</v>
      </c>
      <c r="G36" s="428"/>
      <c r="H36" s="428"/>
      <c r="I36" s="505" t="str">
        <f>+[11]ศชต.!I36</f>
        <v xml:space="preserve"> อยู่ระหว่างการประสานโยธาธิการจังหวัดเป็นกรรมการกำหนดราคากลาง </v>
      </c>
      <c r="J36" s="552"/>
      <c r="K36" s="505"/>
      <c r="L36" s="505"/>
      <c r="M36" s="505" t="str">
        <f>+[11]ศชต.!M36</f>
        <v xml:space="preserve"> อยู่ระหว่างรอแบบรูปรายการ จาก ยธ.สกบ. เพื่อกำหนดราคากลาง </v>
      </c>
      <c r="N36" s="407">
        <v>2</v>
      </c>
      <c r="O36" s="400"/>
      <c r="P36" s="400"/>
      <c r="Q36" s="400"/>
      <c r="R36" s="400"/>
      <c r="S36" s="400"/>
    </row>
    <row r="37" spans="1:19" s="16" customFormat="1" ht="46.5" customHeight="1" x14ac:dyDescent="0.2">
      <c r="A37" s="425">
        <v>9</v>
      </c>
      <c r="B37" s="425"/>
      <c r="C37" s="547" t="s">
        <v>185</v>
      </c>
      <c r="D37" s="425" t="s">
        <v>16</v>
      </c>
      <c r="E37" s="470" t="s">
        <v>205</v>
      </c>
      <c r="F37" s="471">
        <v>3089000</v>
      </c>
      <c r="G37" s="428"/>
      <c r="H37" s="428"/>
      <c r="I37" s="505" t="str">
        <f>+[11]ศชต.!I37</f>
        <v xml:space="preserve"> อยู่ระหว่างการประสานโยธาธิการจังหวัดเป็นกรรมการกำหนดราคากลาง </v>
      </c>
      <c r="J37" s="552"/>
      <c r="K37" s="505"/>
      <c r="L37" s="505"/>
      <c r="M37" s="505" t="str">
        <f>+[11]ศชต.!M37</f>
        <v>อยู่ระหว่างคณะกรรมการกำหนดราคากลาง</v>
      </c>
      <c r="N37" s="407">
        <v>2</v>
      </c>
      <c r="O37" s="400"/>
      <c r="P37" s="400"/>
      <c r="Q37" s="400"/>
      <c r="R37" s="400"/>
      <c r="S37" s="400"/>
    </row>
    <row r="38" spans="1:19" s="16" customFormat="1" ht="49.5" customHeight="1" x14ac:dyDescent="0.2">
      <c r="A38" s="425">
        <v>10</v>
      </c>
      <c r="B38" s="425"/>
      <c r="C38" s="547" t="s">
        <v>185</v>
      </c>
      <c r="D38" s="425" t="s">
        <v>16</v>
      </c>
      <c r="E38" s="470" t="s">
        <v>206</v>
      </c>
      <c r="F38" s="471">
        <v>6952000</v>
      </c>
      <c r="G38" s="428"/>
      <c r="H38" s="428"/>
      <c r="I38" s="505" t="str">
        <f>+[11]ศชต.!I38</f>
        <v xml:space="preserve"> อยู่ระหว่างการประสานโยธาธิการจังหวัดเป็นกรรมการกำหนดราคากลาง </v>
      </c>
      <c r="J38" s="552"/>
      <c r="K38" s="505"/>
      <c r="L38" s="505"/>
      <c r="M38" s="505" t="str">
        <f>+[11]ศชต.!M38</f>
        <v>อยู่ระหว่างคณะกรรมการกำหนดราคากลาง</v>
      </c>
      <c r="N38" s="407">
        <v>2</v>
      </c>
      <c r="O38" s="400"/>
      <c r="P38" s="400"/>
      <c r="Q38" s="400"/>
      <c r="R38" s="400"/>
      <c r="S38" s="400"/>
    </row>
    <row r="39" spans="1:19" s="16" customFormat="1" ht="44.25" customHeight="1" x14ac:dyDescent="0.2">
      <c r="A39" s="425">
        <v>11</v>
      </c>
      <c r="B39" s="425"/>
      <c r="C39" s="547" t="s">
        <v>185</v>
      </c>
      <c r="D39" s="425" t="s">
        <v>16</v>
      </c>
      <c r="E39" s="470" t="s">
        <v>207</v>
      </c>
      <c r="F39" s="471">
        <v>3089000</v>
      </c>
      <c r="G39" s="428"/>
      <c r="H39" s="428"/>
      <c r="I39" s="505" t="str">
        <f>+[11]ศชต.!I39</f>
        <v xml:space="preserve"> อยู่ระหว่างการประสานโยธาธิการจังหวัดเป็นกรรมการกำหนดราคากลาง </v>
      </c>
      <c r="J39" s="552"/>
      <c r="K39" s="505"/>
      <c r="L39" s="505"/>
      <c r="M39" s="505" t="str">
        <f>+[11]ศชต.!M39</f>
        <v>อยู่ระหว่างคณะกรรมการกำหนดราคากลาง</v>
      </c>
      <c r="N39" s="407">
        <v>2</v>
      </c>
      <c r="O39" s="400"/>
      <c r="P39" s="400"/>
      <c r="Q39" s="400"/>
      <c r="R39" s="400"/>
      <c r="S39" s="400"/>
    </row>
    <row r="40" spans="1:19" s="16" customFormat="1" ht="43.5" customHeight="1" x14ac:dyDescent="0.2">
      <c r="A40" s="425">
        <v>12</v>
      </c>
      <c r="B40" s="425"/>
      <c r="C40" s="547" t="s">
        <v>185</v>
      </c>
      <c r="D40" s="425" t="s">
        <v>16</v>
      </c>
      <c r="E40" s="470" t="s">
        <v>208</v>
      </c>
      <c r="F40" s="471">
        <v>3089000</v>
      </c>
      <c r="G40" s="428"/>
      <c r="H40" s="428"/>
      <c r="I40" s="505" t="str">
        <f>+[11]ศชต.!I40</f>
        <v xml:space="preserve"> อยู่ระหว่างการประสานโยธาธิการจังหวัดเป็นกรรมการกำหนดราคากลาง </v>
      </c>
      <c r="J40" s="552"/>
      <c r="K40" s="505"/>
      <c r="L40" s="505"/>
      <c r="M40" s="505" t="str">
        <f>+[11]ศชต.!M40</f>
        <v>อยู่ระหว่างคณะกรรมการกำหนดราคากลาง</v>
      </c>
      <c r="N40" s="407">
        <v>2</v>
      </c>
      <c r="O40" s="402">
        <f>SUM(F41:F43)</f>
        <v>3013000</v>
      </c>
      <c r="P40" s="400"/>
      <c r="Q40" s="400"/>
      <c r="R40" s="400"/>
      <c r="S40" s="400"/>
    </row>
    <row r="41" spans="1:19" s="16" customFormat="1" ht="67.5" x14ac:dyDescent="0.2">
      <c r="A41" s="261">
        <v>13</v>
      </c>
      <c r="B41" s="261"/>
      <c r="C41" s="548" t="s">
        <v>185</v>
      </c>
      <c r="D41" s="261" t="s">
        <v>16</v>
      </c>
      <c r="E41" s="473" t="s">
        <v>209</v>
      </c>
      <c r="F41" s="474">
        <v>997000</v>
      </c>
      <c r="G41" s="321"/>
      <c r="H41" s="321"/>
      <c r="I41" s="508" t="str">
        <f>+[11]ศชต.!I41</f>
        <v xml:space="preserve"> อยู่ระหว่างการประสานโยธาธิการจังหวัดเป็นกรรมการกำหนดราคากลาง </v>
      </c>
      <c r="J41" s="551"/>
      <c r="K41" s="508"/>
      <c r="L41" s="508"/>
      <c r="M41" s="508" t="str">
        <f>+[11]ศชต.!M41</f>
        <v xml:space="preserve"> อยู่ระหว่างคณะกรรมการกำหนดราคากลาง </v>
      </c>
      <c r="N41" s="407">
        <v>1</v>
      </c>
      <c r="O41" s="400"/>
      <c r="P41" s="400"/>
      <c r="Q41" s="400"/>
      <c r="R41" s="400"/>
      <c r="S41" s="400"/>
    </row>
    <row r="42" spans="1:19" s="16" customFormat="1" ht="42" customHeight="1" x14ac:dyDescent="0.2">
      <c r="A42" s="261">
        <v>14</v>
      </c>
      <c r="B42" s="261"/>
      <c r="C42" s="548" t="s">
        <v>185</v>
      </c>
      <c r="D42" s="261" t="s">
        <v>16</v>
      </c>
      <c r="E42" s="473" t="s">
        <v>210</v>
      </c>
      <c r="F42" s="474">
        <v>216000</v>
      </c>
      <c r="G42" s="321"/>
      <c r="H42" s="321"/>
      <c r="I42" s="508" t="str">
        <f>+[11]ศชต.!I42</f>
        <v xml:space="preserve"> อยู่ระหว่างการประสานโยธาธิการจังหวัดเป็นกรรมการกำหนดราคากลาง </v>
      </c>
      <c r="J42" s="551"/>
      <c r="K42" s="508"/>
      <c r="L42" s="508"/>
      <c r="M42" s="508" t="str">
        <f>+[11]ศชต.!M42</f>
        <v xml:space="preserve"> อยู่ระหว่างคณะกรรมการกำหนดราคากลาง </v>
      </c>
      <c r="N42" s="407">
        <v>1</v>
      </c>
      <c r="O42" s="400"/>
      <c r="P42" s="400"/>
      <c r="Q42" s="400"/>
      <c r="R42" s="400"/>
      <c r="S42" s="400"/>
    </row>
    <row r="43" spans="1:19" s="16" customFormat="1" ht="42" customHeight="1" x14ac:dyDescent="0.2">
      <c r="A43" s="261">
        <v>15</v>
      </c>
      <c r="B43" s="261"/>
      <c r="C43" s="548" t="s">
        <v>185</v>
      </c>
      <c r="D43" s="261" t="s">
        <v>16</v>
      </c>
      <c r="E43" s="473" t="s">
        <v>211</v>
      </c>
      <c r="F43" s="474">
        <v>1800000</v>
      </c>
      <c r="G43" s="321"/>
      <c r="H43" s="321"/>
      <c r="I43" s="508" t="str">
        <f>+[11]ศชต.!I43</f>
        <v xml:space="preserve"> อยู่ระหว่างการประสานโยธาธิการจังหวัดเป็นกรรมการกำหนดราคากลาง </v>
      </c>
      <c r="J43" s="551"/>
      <c r="K43" s="508"/>
      <c r="L43" s="508"/>
      <c r="M43" s="508" t="str">
        <f>+[11]ศชต.!M43</f>
        <v>ลงนามสัญญาแล้ว</v>
      </c>
      <c r="N43" s="407">
        <v>1</v>
      </c>
      <c r="O43" s="400"/>
      <c r="P43" s="400"/>
      <c r="Q43" s="400"/>
      <c r="R43" s="400"/>
      <c r="S43" s="400"/>
    </row>
    <row r="44" spans="1:19" s="16" customFormat="1" ht="42" customHeight="1" x14ac:dyDescent="0.2">
      <c r="A44" s="261">
        <v>16</v>
      </c>
      <c r="B44" s="261"/>
      <c r="C44" s="548" t="s">
        <v>185</v>
      </c>
      <c r="D44" s="261" t="s">
        <v>16</v>
      </c>
      <c r="E44" s="473" t="s">
        <v>212</v>
      </c>
      <c r="F44" s="474">
        <v>750000</v>
      </c>
      <c r="G44" s="321"/>
      <c r="H44" s="321"/>
      <c r="I44" s="508" t="str">
        <f>+[11]ศชต.!I44</f>
        <v xml:space="preserve"> อยู่ระหว่างการประสานโยธาธิการจังหวัดเป็นกรรมการกำหนดราคากลาง </v>
      </c>
      <c r="J44" s="551"/>
      <c r="K44" s="508"/>
      <c r="L44" s="508"/>
      <c r="M44" s="508" t="str">
        <f>+[11]ศชต.!M44</f>
        <v>ลงนามสัญญาแล้ว</v>
      </c>
      <c r="N44" s="407">
        <v>1</v>
      </c>
      <c r="O44" s="400"/>
      <c r="P44" s="400"/>
      <c r="Q44" s="400"/>
      <c r="R44" s="400"/>
      <c r="S44" s="400"/>
    </row>
    <row r="45" spans="1:19" s="16" customFormat="1" ht="42" customHeight="1" x14ac:dyDescent="0.2">
      <c r="A45" s="261">
        <v>17</v>
      </c>
      <c r="B45" s="261"/>
      <c r="C45" s="548" t="s">
        <v>185</v>
      </c>
      <c r="D45" s="261" t="s">
        <v>16</v>
      </c>
      <c r="E45" s="473" t="s">
        <v>213</v>
      </c>
      <c r="F45" s="474">
        <v>159000</v>
      </c>
      <c r="G45" s="321"/>
      <c r="H45" s="321"/>
      <c r="I45" s="508" t="str">
        <f>+[11]ศชต.!I45</f>
        <v xml:space="preserve"> อยู่ระหว่างการประสานโยธาธิการจังหวัดเป็นกรรมการกำหนดราคากลาง </v>
      </c>
      <c r="J45" s="551"/>
      <c r="K45" s="508"/>
      <c r="L45" s="508"/>
      <c r="M45" s="508" t="str">
        <f>+[11]ศชต.!M45</f>
        <v>ลงนามสัญญาแล้ว</v>
      </c>
      <c r="N45" s="407">
        <v>1</v>
      </c>
      <c r="O45" s="400"/>
      <c r="P45" s="400"/>
      <c r="Q45" s="400"/>
      <c r="R45" s="400"/>
      <c r="S45" s="400"/>
    </row>
    <row r="46" spans="1:19" s="16" customFormat="1" ht="42" customHeight="1" x14ac:dyDescent="0.2">
      <c r="A46" s="425">
        <v>18</v>
      </c>
      <c r="B46" s="425"/>
      <c r="C46" s="547" t="s">
        <v>185</v>
      </c>
      <c r="D46" s="425" t="s">
        <v>16</v>
      </c>
      <c r="E46" s="470" t="s">
        <v>214</v>
      </c>
      <c r="F46" s="471">
        <v>3799000</v>
      </c>
      <c r="G46" s="428"/>
      <c r="H46" s="428"/>
      <c r="I46" s="505" t="str">
        <f>+[11]ศชต.!I46</f>
        <v xml:space="preserve"> อยู่ระหว่างการประสานโยธาธิการจังหวัดเป็นกรรมการกำหนดราคากลาง </v>
      </c>
      <c r="J46" s="552"/>
      <c r="K46" s="505"/>
      <c r="L46" s="505"/>
      <c r="M46" s="505" t="str">
        <f>+[11]ศชต.!M46</f>
        <v>ลงนามสัญญาแล้ว</v>
      </c>
      <c r="N46" s="407">
        <v>2</v>
      </c>
      <c r="O46" s="400"/>
      <c r="P46" s="400"/>
      <c r="Q46" s="400"/>
      <c r="R46" s="400"/>
      <c r="S46" s="400"/>
    </row>
    <row r="47" spans="1:19" s="16" customFormat="1" ht="42" customHeight="1" x14ac:dyDescent="0.2">
      <c r="A47" s="261">
        <v>19</v>
      </c>
      <c r="B47" s="261"/>
      <c r="C47" s="548" t="s">
        <v>185</v>
      </c>
      <c r="D47" s="261" t="s">
        <v>16</v>
      </c>
      <c r="E47" s="473" t="s">
        <v>215</v>
      </c>
      <c r="F47" s="474">
        <v>970500</v>
      </c>
      <c r="G47" s="321"/>
      <c r="H47" s="321"/>
      <c r="I47" s="508" t="str">
        <f>+[11]ศชต.!I47</f>
        <v xml:space="preserve"> อยู่ระหว่างการประสานโยธาธิการจังหวัดเป็นกรรมการกำหนดราคากลาง </v>
      </c>
      <c r="J47" s="551"/>
      <c r="K47" s="508"/>
      <c r="L47" s="508"/>
      <c r="M47" s="508" t="str">
        <f>+[11]ศชต.!M47</f>
        <v>ลงนามสัญญาแล้ว</v>
      </c>
      <c r="N47" s="407">
        <v>1</v>
      </c>
      <c r="O47" s="400"/>
      <c r="P47" s="400"/>
      <c r="Q47" s="400"/>
      <c r="R47" s="400"/>
      <c r="S47" s="400"/>
    </row>
    <row r="48" spans="1:19" s="16" customFormat="1" ht="42" customHeight="1" x14ac:dyDescent="0.2">
      <c r="A48" s="261">
        <v>20</v>
      </c>
      <c r="B48" s="261"/>
      <c r="C48" s="548" t="s">
        <v>185</v>
      </c>
      <c r="D48" s="261" t="s">
        <v>16</v>
      </c>
      <c r="E48" s="473" t="s">
        <v>216</v>
      </c>
      <c r="F48" s="474">
        <v>1215000</v>
      </c>
      <c r="G48" s="321"/>
      <c r="H48" s="321"/>
      <c r="I48" s="508" t="str">
        <f>+[11]ศชต.!I48</f>
        <v xml:space="preserve"> อยู่ระหว่างการประสานโยธาธิการจังหวัดเป็นกรรมการกำหนดราคากลาง </v>
      </c>
      <c r="J48" s="551"/>
      <c r="K48" s="508"/>
      <c r="L48" s="508"/>
      <c r="M48" s="508" t="str">
        <f>+[11]ศชต.!M48</f>
        <v>ลงนามสัญญาแล้ว</v>
      </c>
      <c r="N48" s="407">
        <v>1</v>
      </c>
      <c r="O48" s="400"/>
      <c r="P48" s="400"/>
      <c r="Q48" s="400"/>
      <c r="R48" s="400"/>
      <c r="S48" s="400"/>
    </row>
    <row r="49" spans="1:46" s="16" customFormat="1" ht="42" customHeight="1" x14ac:dyDescent="0.2">
      <c r="A49" s="261">
        <v>21</v>
      </c>
      <c r="B49" s="261"/>
      <c r="C49" s="548" t="s">
        <v>185</v>
      </c>
      <c r="D49" s="261" t="s">
        <v>16</v>
      </c>
      <c r="E49" s="473" t="s">
        <v>217</v>
      </c>
      <c r="F49" s="474">
        <v>645000</v>
      </c>
      <c r="G49" s="321"/>
      <c r="H49" s="321"/>
      <c r="I49" s="508" t="str">
        <f>+[11]ศชต.!I49</f>
        <v xml:space="preserve"> อยู่ระหว่างการประสานโยธาธิการจังหวัดเป็นกรรมการกำหนดราคากลาง </v>
      </c>
      <c r="J49" s="551"/>
      <c r="K49" s="508"/>
      <c r="L49" s="508"/>
      <c r="M49" s="508" t="str">
        <f>+[11]ศชต.!M49</f>
        <v>ลงนามสัญญาแล้ว</v>
      </c>
      <c r="N49" s="407">
        <v>1</v>
      </c>
      <c r="O49" s="400"/>
      <c r="P49" s="400"/>
      <c r="Q49" s="400"/>
      <c r="R49" s="400"/>
      <c r="S49" s="400"/>
    </row>
    <row r="50" spans="1:46" s="16" customFormat="1" ht="42" customHeight="1" x14ac:dyDescent="0.2">
      <c r="A50" s="425">
        <v>22</v>
      </c>
      <c r="B50" s="425"/>
      <c r="C50" s="547" t="s">
        <v>185</v>
      </c>
      <c r="D50" s="425" t="s">
        <v>16</v>
      </c>
      <c r="E50" s="470" t="s">
        <v>218</v>
      </c>
      <c r="F50" s="471">
        <v>2370000</v>
      </c>
      <c r="G50" s="428"/>
      <c r="H50" s="428"/>
      <c r="I50" s="505" t="str">
        <f>+[11]ศชต.!I50</f>
        <v xml:space="preserve"> อยู่ระหว่างการประสานโยธาธิการจังหวัดเป็นกรรมการกำหนดราคากลาง </v>
      </c>
      <c r="J50" s="552"/>
      <c r="K50" s="505"/>
      <c r="L50" s="505"/>
      <c r="M50" s="505" t="str">
        <f>+[11]ศชต.!M50</f>
        <v>ลงนามสัญญาแล้ว</v>
      </c>
      <c r="N50" s="407">
        <v>2</v>
      </c>
      <c r="O50" s="400"/>
      <c r="P50" s="400"/>
      <c r="Q50" s="400"/>
      <c r="R50" s="400"/>
      <c r="S50" s="400"/>
    </row>
    <row r="51" spans="1:46" s="16" customFormat="1" ht="41.25" customHeight="1" x14ac:dyDescent="0.2">
      <c r="A51" s="261">
        <v>23</v>
      </c>
      <c r="B51" s="261"/>
      <c r="C51" s="548" t="s">
        <v>185</v>
      </c>
      <c r="D51" s="261" t="s">
        <v>16</v>
      </c>
      <c r="E51" s="473" t="s">
        <v>219</v>
      </c>
      <c r="F51" s="474">
        <v>615000</v>
      </c>
      <c r="G51" s="321"/>
      <c r="H51" s="321"/>
      <c r="I51" s="508" t="str">
        <f>+[11]ศชต.!I51</f>
        <v xml:space="preserve"> อยู่ระหว่างการประสานโยธาธิการจังหวัดเป็นกรรมการกำหนดราคากลาง </v>
      </c>
      <c r="J51" s="551"/>
      <c r="K51" s="508"/>
      <c r="L51" s="508"/>
      <c r="M51" s="508" t="str">
        <f>+[11]ศชต.!M51</f>
        <v>ลงนามสัญญาแล้ว</v>
      </c>
      <c r="N51" s="407">
        <v>1</v>
      </c>
      <c r="O51" s="400"/>
      <c r="P51" s="400"/>
      <c r="Q51" s="400"/>
      <c r="R51" s="400"/>
      <c r="S51" s="400"/>
    </row>
    <row r="52" spans="1:46" s="16" customFormat="1" ht="34.5" customHeight="1" x14ac:dyDescent="0.2">
      <c r="A52" s="261">
        <v>24</v>
      </c>
      <c r="B52" s="261" t="s">
        <v>16</v>
      </c>
      <c r="C52" s="475" t="s">
        <v>238</v>
      </c>
      <c r="D52" s="261" t="s">
        <v>16</v>
      </c>
      <c r="E52" s="473" t="s">
        <v>664</v>
      </c>
      <c r="F52" s="474">
        <v>150000</v>
      </c>
      <c r="G52" s="321"/>
      <c r="H52" s="321"/>
      <c r="I52" s="508">
        <f>+[11]ศชต.!I52</f>
        <v>0</v>
      </c>
      <c r="J52" s="551"/>
      <c r="K52" s="508"/>
      <c r="L52" s="508"/>
      <c r="M52" s="508">
        <f>+[11]ศชต.!M52</f>
        <v>0</v>
      </c>
      <c r="N52" s="407">
        <v>2</v>
      </c>
      <c r="O52" s="400"/>
      <c r="P52" s="400"/>
      <c r="Q52" s="400"/>
      <c r="R52" s="400"/>
      <c r="S52" s="400"/>
    </row>
    <row r="53" spans="1:46" s="16" customFormat="1" x14ac:dyDescent="0.2">
      <c r="A53" s="14"/>
      <c r="B53" s="14"/>
      <c r="C53" s="14"/>
      <c r="D53" s="14"/>
      <c r="E53" s="477"/>
      <c r="F53" s="496"/>
      <c r="G53" s="30"/>
      <c r="H53" s="30"/>
      <c r="I53" s="31"/>
      <c r="J53" s="263"/>
      <c r="K53" s="15"/>
      <c r="L53" s="15"/>
      <c r="M53" s="31"/>
      <c r="N53" s="407"/>
      <c r="O53" s="400"/>
      <c r="P53" s="400"/>
      <c r="Q53" s="400"/>
      <c r="R53" s="400"/>
      <c r="S53" s="400"/>
    </row>
    <row r="54" spans="1:46" s="16" customFormat="1" ht="22.5" thickBot="1" x14ac:dyDescent="0.55000000000000004">
      <c r="A54" s="235">
        <f>+A52</f>
        <v>24</v>
      </c>
      <c r="B54" s="235"/>
      <c r="C54" s="235"/>
      <c r="D54" s="235"/>
      <c r="E54" s="236" t="s">
        <v>60</v>
      </c>
      <c r="F54" s="298">
        <f>SUM(F29:F53)</f>
        <v>215980100</v>
      </c>
      <c r="G54" s="237">
        <f>SUM(G29:G53)</f>
        <v>0</v>
      </c>
      <c r="H54" s="237">
        <f>SUM(H29:H53)</f>
        <v>0</v>
      </c>
      <c r="I54" s="250"/>
      <c r="J54" s="266">
        <f>SUM(J29:J53)</f>
        <v>0</v>
      </c>
      <c r="K54" s="250">
        <f>SUM(K29:K53)</f>
        <v>0</v>
      </c>
      <c r="L54" s="250">
        <f>SUM(L29:L53)</f>
        <v>0</v>
      </c>
      <c r="M54" s="250"/>
      <c r="N54" s="405"/>
      <c r="O54" s="402">
        <f>+F54+G54</f>
        <v>215980100</v>
      </c>
      <c r="P54" s="398"/>
      <c r="Q54" s="398"/>
      <c r="R54" s="400"/>
      <c r="S54" s="400"/>
    </row>
    <row r="55" spans="1:46" s="480" customFormat="1" ht="22.5" thickBot="1" x14ac:dyDescent="0.55000000000000004">
      <c r="A55" s="238">
        <f>+A27+A54</f>
        <v>39</v>
      </c>
      <c r="B55" s="239"/>
      <c r="C55" s="239"/>
      <c r="D55" s="239"/>
      <c r="E55" s="239" t="s">
        <v>220</v>
      </c>
      <c r="F55" s="299">
        <f>F27+F54</f>
        <v>270272800</v>
      </c>
      <c r="G55" s="289">
        <f>+G27+G54</f>
        <v>0</v>
      </c>
      <c r="H55" s="289">
        <f>+H27+H54</f>
        <v>0</v>
      </c>
      <c r="I55" s="240"/>
      <c r="J55" s="267">
        <f>J27+J54</f>
        <v>0</v>
      </c>
      <c r="K55" s="240">
        <f>K27+K54</f>
        <v>0</v>
      </c>
      <c r="L55" s="240">
        <f>L27+L54</f>
        <v>0</v>
      </c>
      <c r="M55" s="240"/>
      <c r="N55" s="408"/>
      <c r="O55" s="397">
        <f>+O27+O54</f>
        <v>270272800</v>
      </c>
      <c r="P55" s="479"/>
      <c r="Q55" s="479"/>
      <c r="R55" s="399"/>
      <c r="S55" s="399"/>
      <c r="T55" s="12"/>
      <c r="U55" s="12"/>
      <c r="V55" s="12"/>
      <c r="W55" s="12"/>
      <c r="X55" s="12"/>
      <c r="Y55" s="12"/>
      <c r="Z55" s="12"/>
      <c r="AA55" s="12"/>
    </row>
    <row r="56" spans="1:46" s="16" customFormat="1" x14ac:dyDescent="0.2">
      <c r="A56" s="481"/>
      <c r="B56" s="481"/>
      <c r="C56" s="481"/>
      <c r="D56" s="481"/>
      <c r="E56" s="482"/>
      <c r="F56" s="376"/>
      <c r="G56" s="375"/>
      <c r="H56" s="375"/>
      <c r="I56" s="375"/>
      <c r="J56" s="375"/>
      <c r="K56" s="376"/>
      <c r="L56" s="376"/>
      <c r="M56" s="375"/>
      <c r="N56" s="407"/>
      <c r="O56" s="400"/>
      <c r="P56" s="400"/>
      <c r="Q56" s="400"/>
      <c r="R56" s="400"/>
      <c r="S56" s="400"/>
    </row>
    <row r="57" spans="1:46" s="16" customFormat="1" x14ac:dyDescent="0.5">
      <c r="A57" s="481"/>
      <c r="B57" s="481"/>
      <c r="C57" s="481"/>
      <c r="D57" s="481"/>
      <c r="E57" s="482"/>
      <c r="F57" s="252"/>
      <c r="G57" s="375"/>
      <c r="H57" s="375"/>
      <c r="I57" s="375"/>
      <c r="J57" s="375"/>
      <c r="K57" s="376"/>
      <c r="L57" s="376"/>
      <c r="M57" s="375"/>
      <c r="N57" s="407"/>
      <c r="O57" s="400"/>
      <c r="P57" s="400"/>
      <c r="Q57" s="400"/>
      <c r="R57" s="400"/>
      <c r="S57" s="400"/>
    </row>
    <row r="59" spans="1:46" s="77" customFormat="1" ht="22.5" thickBot="1" x14ac:dyDescent="0.55000000000000004">
      <c r="A59" s="483"/>
      <c r="B59" s="483"/>
      <c r="C59" s="483"/>
      <c r="D59" s="483"/>
      <c r="E59" s="77" t="s">
        <v>64</v>
      </c>
      <c r="F59" s="253"/>
      <c r="G59" s="229"/>
      <c r="H59" s="119"/>
      <c r="I59" s="119"/>
      <c r="J59" s="119"/>
      <c r="K59" s="484"/>
      <c r="L59" s="484"/>
      <c r="M59" s="119"/>
      <c r="N59" s="465"/>
      <c r="O59" s="399"/>
      <c r="P59" s="399"/>
      <c r="Q59" s="399"/>
      <c r="R59" s="399"/>
      <c r="S59" s="399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5"/>
      <c r="AE59" s="485"/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</row>
    <row r="60" spans="1:46" s="77" customFormat="1" ht="22.5" thickTop="1" x14ac:dyDescent="0.5">
      <c r="A60" s="483"/>
      <c r="B60" s="483"/>
      <c r="C60" s="483"/>
      <c r="D60" s="483"/>
      <c r="E60" s="77" t="s">
        <v>65</v>
      </c>
      <c r="F60" s="262"/>
      <c r="G60" s="119"/>
      <c r="H60" s="119"/>
      <c r="I60" s="119"/>
      <c r="J60" s="119"/>
      <c r="K60" s="484"/>
      <c r="L60" s="484"/>
      <c r="M60" s="119"/>
      <c r="N60" s="465"/>
      <c r="O60" s="399"/>
      <c r="P60" s="399"/>
      <c r="Q60" s="399"/>
      <c r="R60" s="399"/>
      <c r="S60" s="399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</row>
    <row r="61" spans="1:46" s="77" customFormat="1" x14ac:dyDescent="0.5">
      <c r="A61" s="483"/>
      <c r="B61" s="483"/>
      <c r="C61" s="483"/>
      <c r="D61" s="483"/>
      <c r="E61" s="77" t="s">
        <v>66</v>
      </c>
      <c r="F61" s="262"/>
      <c r="G61" s="119"/>
      <c r="H61" s="119"/>
      <c r="I61" s="119"/>
      <c r="J61" s="119"/>
      <c r="K61" s="484"/>
      <c r="L61" s="484"/>
      <c r="M61" s="119"/>
      <c r="N61" s="465"/>
      <c r="O61" s="399"/>
      <c r="P61" s="399"/>
      <c r="Q61" s="399"/>
      <c r="R61" s="399"/>
      <c r="S61" s="399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485"/>
      <c r="AF61" s="485"/>
      <c r="AG61" s="485"/>
      <c r="AH61" s="485"/>
      <c r="AI61" s="485"/>
      <c r="AJ61" s="485"/>
      <c r="AK61" s="485"/>
      <c r="AL61" s="485"/>
      <c r="AM61" s="485"/>
      <c r="AN61" s="485"/>
      <c r="AO61" s="485"/>
      <c r="AP61" s="485"/>
      <c r="AQ61" s="485"/>
      <c r="AR61" s="485"/>
      <c r="AS61" s="485"/>
      <c r="AT61" s="485"/>
    </row>
    <row r="62" spans="1:46" s="77" customFormat="1" x14ac:dyDescent="0.5">
      <c r="A62" s="483"/>
      <c r="B62" s="483"/>
      <c r="C62" s="483"/>
      <c r="D62" s="483"/>
      <c r="E62" s="77" t="s">
        <v>67</v>
      </c>
      <c r="F62" s="262"/>
      <c r="G62" s="119"/>
      <c r="H62" s="119"/>
      <c r="I62" s="119"/>
      <c r="J62" s="119"/>
      <c r="K62" s="484"/>
      <c r="L62" s="484"/>
      <c r="M62" s="119"/>
      <c r="N62" s="465"/>
      <c r="O62" s="399"/>
      <c r="P62" s="399"/>
      <c r="Q62" s="399"/>
      <c r="R62" s="399"/>
      <c r="S62" s="399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</row>
  </sheetData>
  <autoFilter ref="N1:N62"/>
  <mergeCells count="20">
    <mergeCell ref="A1:M1"/>
    <mergeCell ref="A2:M2"/>
    <mergeCell ref="A3:M3"/>
    <mergeCell ref="A5:A8"/>
    <mergeCell ref="C5:C8"/>
    <mergeCell ref="B5:B8"/>
    <mergeCell ref="D5:D8"/>
    <mergeCell ref="Q5:Q8"/>
    <mergeCell ref="F4:G4"/>
    <mergeCell ref="E5:E8"/>
    <mergeCell ref="F6:F8"/>
    <mergeCell ref="K5:K8"/>
    <mergeCell ref="L5:L8"/>
    <mergeCell ref="P5:P8"/>
    <mergeCell ref="G6:G8"/>
    <mergeCell ref="J5:J8"/>
    <mergeCell ref="I5:I8"/>
    <mergeCell ref="F5:H5"/>
    <mergeCell ref="H6:H8"/>
    <mergeCell ref="M5:M8"/>
  </mergeCells>
  <phoneticPr fontId="2" type="noConversion"/>
  <conditionalFormatting sqref="F12 F16:F21 F37:F51">
    <cfRule type="cellIs" dxfId="92" priority="11" stopIfTrue="1" operator="between">
      <formula>2000001</formula>
      <formula>500000000</formula>
    </cfRule>
  </conditionalFormatting>
  <conditionalFormatting sqref="F11">
    <cfRule type="cellIs" dxfId="91" priority="10" stopIfTrue="1" operator="between">
      <formula>2000001</formula>
      <formula>500000000</formula>
    </cfRule>
  </conditionalFormatting>
  <conditionalFormatting sqref="F13:F15">
    <cfRule type="cellIs" dxfId="90" priority="9" stopIfTrue="1" operator="between">
      <formula>2000001</formula>
      <formula>500000000</formula>
    </cfRule>
  </conditionalFormatting>
  <conditionalFormatting sqref="F22">
    <cfRule type="cellIs" dxfId="89" priority="8" stopIfTrue="1" operator="between">
      <formula>2000001</formula>
      <formula>500000000</formula>
    </cfRule>
  </conditionalFormatting>
  <conditionalFormatting sqref="F29">
    <cfRule type="cellIs" dxfId="88" priority="7" stopIfTrue="1" operator="between">
      <formula>2000001</formula>
      <formula>500000000</formula>
    </cfRule>
  </conditionalFormatting>
  <conditionalFormatting sqref="F30:F32">
    <cfRule type="cellIs" dxfId="87" priority="6" stopIfTrue="1" operator="between">
      <formula>2000001</formula>
      <formula>500000000</formula>
    </cfRule>
  </conditionalFormatting>
  <conditionalFormatting sqref="F33:F35">
    <cfRule type="cellIs" dxfId="86" priority="5" stopIfTrue="1" operator="between">
      <formula>2000001</formula>
      <formula>500000000</formula>
    </cfRule>
  </conditionalFormatting>
  <conditionalFormatting sqref="F36">
    <cfRule type="cellIs" dxfId="85" priority="4" stopIfTrue="1" operator="between">
      <formula>2000001</formula>
      <formula>500000000</formula>
    </cfRule>
  </conditionalFormatting>
  <conditionalFormatting sqref="F23:F25">
    <cfRule type="cellIs" dxfId="84" priority="2" stopIfTrue="1" operator="between">
      <formula>2000001</formula>
      <formula>500000000</formula>
    </cfRule>
  </conditionalFormatting>
  <conditionalFormatting sqref="F52">
    <cfRule type="cellIs" dxfId="83" priority="1" stopIfTrue="1" operator="between">
      <formula>2000001</formula>
      <formula>500000000</formula>
    </cfRule>
  </conditionalFormatting>
  <pageMargins left="0.35433070866141736" right="0.55118110236220474" top="0.74803149606299213" bottom="0.39370078740157483" header="0.27559055118110237" footer="0.31496062992125984"/>
  <pageSetup paperSize="9" scale="80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8"/>
  <sheetViews>
    <sheetView topLeftCell="A22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5703125" style="486" customWidth="1"/>
    <col min="5" max="5" width="46.42578125" style="460" customWidth="1"/>
    <col min="6" max="6" width="16" style="559" bestFit="1" customWidth="1"/>
    <col min="7" max="7" width="13.85546875" style="488" customWidth="1"/>
    <col min="8" max="8" width="13.85546875" style="488" hidden="1" customWidth="1"/>
    <col min="9" max="9" width="33.140625" style="488" customWidth="1"/>
    <col min="10" max="10" width="13.140625" style="488" hidden="1" customWidth="1"/>
    <col min="11" max="11" width="12.140625" style="464" hidden="1" customWidth="1"/>
    <col min="12" max="12" width="11.140625" style="464" hidden="1" customWidth="1"/>
    <col min="13" max="13" width="33.85546875" style="488" customWidth="1"/>
    <col min="14" max="14" width="5.140625" style="465" customWidth="1"/>
    <col min="15" max="15" width="19.5703125" style="399" bestFit="1" customWidth="1"/>
    <col min="16" max="16" width="11" style="399" bestFit="1" customWidth="1"/>
    <col min="17" max="17" width="14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19</v>
      </c>
      <c r="Q2" s="397" t="e">
        <f>+F13+F14+F17+F19+F20+F21+F22+#REF!+#REF!+#REF!+F24+F25+F26+F27+F28+F29+F30+F32+F18</f>
        <v>#REF!</v>
      </c>
      <c r="R2" s="523" t="s">
        <v>70</v>
      </c>
      <c r="S2" s="397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8</v>
      </c>
      <c r="Q3" s="462" t="e">
        <f>+F11+#REF!+#REF!+F23+F31+F12+F15+F16</f>
        <v>#REF!</v>
      </c>
      <c r="R3" s="463">
        <v>2</v>
      </c>
      <c r="S3" s="462" t="e">
        <f>+F36+#REF!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ht="20.25" customHeight="1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17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87" x14ac:dyDescent="0.2">
      <c r="A11" s="425">
        <v>1</v>
      </c>
      <c r="B11" s="425"/>
      <c r="C11" s="425" t="s">
        <v>221</v>
      </c>
      <c r="D11" s="425" t="s">
        <v>17</v>
      </c>
      <c r="E11" s="553" t="s">
        <v>222</v>
      </c>
      <c r="F11" s="526">
        <v>17920000</v>
      </c>
      <c r="G11" s="426"/>
      <c r="H11" s="426"/>
      <c r="I11" s="505" t="str">
        <f>+[12]บช.ก.!I11</f>
        <v> จัดซื้อด้วยวิธีประกวดราคาอิเล็กทรอนิกส์ ปัจจุบันอยู่ระหว่างรอรายงานผลการพิจารณาผลการประกวดราคาของคณะกรรมการฯ </v>
      </c>
      <c r="J11" s="497"/>
      <c r="K11" s="497"/>
      <c r="L11" s="497"/>
      <c r="M11" s="505" t="str">
        <f>+[12]บช.ก.!M11</f>
        <v>ลงนามสัญญาแล้ว เมื่อ 18 พ.ย.58 รอการส่งมอบ (กำหนดส่งมอบภายใน 30 วัน  วันที่ 18 ธ.ค.58 ได้ราคา 17,890,000 บาท</v>
      </c>
      <c r="N11" s="407">
        <v>2</v>
      </c>
      <c r="O11" s="400"/>
      <c r="P11" s="400"/>
      <c r="Q11" s="400"/>
      <c r="R11" s="400"/>
      <c r="S11" s="400"/>
    </row>
    <row r="12" spans="1:38" s="16" customFormat="1" ht="65.25" x14ac:dyDescent="0.2">
      <c r="A12" s="425">
        <v>2</v>
      </c>
      <c r="B12" s="425"/>
      <c r="C12" s="425" t="s">
        <v>221</v>
      </c>
      <c r="D12" s="425" t="s">
        <v>17</v>
      </c>
      <c r="E12" s="525" t="s">
        <v>223</v>
      </c>
      <c r="F12" s="526">
        <v>7560000</v>
      </c>
      <c r="G12" s="426"/>
      <c r="H12" s="426"/>
      <c r="I12" s="505">
        <f>+[12]บช.ก.!I12</f>
        <v>0</v>
      </c>
      <c r="J12" s="497"/>
      <c r="K12" s="497"/>
      <c r="L12" s="497"/>
      <c r="M12" s="505" t="str">
        <f>+[12]บช.ก.!M12</f>
        <v>จัดหาโดยวิธีประกวดราคาอิเล็กทรอนิกส์ ขอรับความเห็นชอบเมื่อ 12 พ.ย.58 วันที่ 25 พ.ย.58 ประกาศประกวดราคา</v>
      </c>
      <c r="N12" s="407">
        <v>2</v>
      </c>
      <c r="O12" s="400"/>
      <c r="P12" s="400"/>
      <c r="Q12" s="400"/>
      <c r="R12" s="400"/>
      <c r="S12" s="400"/>
    </row>
    <row r="13" spans="1:38" s="16" customFormat="1" ht="43.5" x14ac:dyDescent="0.2">
      <c r="A13" s="261">
        <v>3</v>
      </c>
      <c r="B13" s="261"/>
      <c r="C13" s="261" t="s">
        <v>221</v>
      </c>
      <c r="D13" s="261" t="s">
        <v>17</v>
      </c>
      <c r="E13" s="533" t="s">
        <v>224</v>
      </c>
      <c r="F13" s="534">
        <v>897000</v>
      </c>
      <c r="G13" s="281"/>
      <c r="H13" s="281"/>
      <c r="I13" s="508" t="str">
        <f>+[12]บช.ก.!I13</f>
        <v> จัดหาโดยวิธีสอบราคา อยู่ระหว่างขอรับความเห็นชอบ </v>
      </c>
      <c r="J13" s="497"/>
      <c r="K13" s="497"/>
      <c r="L13" s="497"/>
      <c r="M13" s="508" t="str">
        <f>+[12]บช.ก.!M13</f>
        <v>อยู่ระหว่างขออนุมัติจัดซื้อ</v>
      </c>
      <c r="N13" s="407">
        <v>1</v>
      </c>
      <c r="O13" s="400"/>
      <c r="P13" s="400"/>
      <c r="Q13" s="400"/>
      <c r="R13" s="400"/>
      <c r="S13" s="400"/>
    </row>
    <row r="14" spans="1:38" s="16" customFormat="1" ht="239.25" x14ac:dyDescent="0.2">
      <c r="A14" s="261">
        <v>4</v>
      </c>
      <c r="B14" s="261"/>
      <c r="C14" s="261" t="s">
        <v>225</v>
      </c>
      <c r="D14" s="261" t="s">
        <v>17</v>
      </c>
      <c r="E14" s="533" t="s">
        <v>226</v>
      </c>
      <c r="F14" s="534">
        <v>150000</v>
      </c>
      <c r="G14" s="281"/>
      <c r="H14" s="281"/>
      <c r="I14" s="540" t="str">
        <f>+[12]บช.ก.!I14</f>
        <v>เนื่องจาก บก.ปปป.ได้รับข้อมูลเบื้องต้นจากบริษัทตัวแทนจำหน่ายรถจักรยานยนต์ตามสเป็คสำนักงบประมาณดังกล่าว ปัจจุบันไม่มีขายในท้องตลาด หรือมีก็เพียงยี่ห้อเดียว จึงได้มีหนังสือสอบถามไปยังบรีษัทตัวแทนจำหน่ายรถจักรยานยนต์ยี่ห้อต่าง ๆรวม 4 บริษัท เพื่อยืนยันข้อมูลดังกล่าว และมีหนังสือหารือไปยังกรมบัญชึกลาง กรณ๊หากมีเพียงยี่ห้อเดียว จะสามารถจัดซื้อได้หรือไม่อย่างไร ซึ่งขณะนี้อยู่ระหว่างรอหนังสือตอบกลับ</v>
      </c>
      <c r="J14" s="497"/>
      <c r="K14" s="497"/>
      <c r="L14" s="497"/>
      <c r="M14" s="508" t="str">
        <f>+[12]บช.ก.!M14</f>
        <v> ติดต่อผู้ขายให้ลงทะเบียนการค้าเรียบร้อยแล้ว ขณะนี้อยู่ระหว่างเสนอเรื่องขออนุมัติดำเนินการจัดซื้อ คาดว่าจะผูกพันสัญญาภายใน 30 พ.ย.58 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425">
        <v>5</v>
      </c>
      <c r="B15" s="425"/>
      <c r="C15" s="506" t="s">
        <v>227</v>
      </c>
      <c r="D15" s="425" t="s">
        <v>17</v>
      </c>
      <c r="E15" s="525" t="s">
        <v>228</v>
      </c>
      <c r="F15" s="526">
        <v>5290000</v>
      </c>
      <c r="G15" s="426"/>
      <c r="H15" s="426"/>
      <c r="I15" s="550">
        <f>+[12]บช.ก.!I15</f>
        <v>0</v>
      </c>
      <c r="J15" s="15"/>
      <c r="K15" s="15"/>
      <c r="L15" s="15"/>
      <c r="M15" s="550" t="str">
        <f>+[12]บช.ก.!M15</f>
        <v> อยู่ระหว่างลงประกาศร่างเอกสารประกวดราคาทางเว๊ปไซต์ ระหว่างวันที่ 24 พ.ย.58 - 1 ธ.ค.58 (5 วันทำการ) </v>
      </c>
      <c r="N15" s="407">
        <v>2</v>
      </c>
      <c r="O15" s="400"/>
      <c r="P15" s="400"/>
      <c r="Q15" s="400"/>
      <c r="R15" s="400"/>
      <c r="S15" s="400"/>
    </row>
    <row r="16" spans="1:38" s="16" customFormat="1" ht="45" x14ac:dyDescent="0.2">
      <c r="A16" s="425">
        <v>6</v>
      </c>
      <c r="B16" s="425"/>
      <c r="C16" s="506" t="s">
        <v>227</v>
      </c>
      <c r="D16" s="425" t="s">
        <v>17</v>
      </c>
      <c r="E16" s="525" t="s">
        <v>229</v>
      </c>
      <c r="F16" s="526">
        <v>8435000</v>
      </c>
      <c r="G16" s="426"/>
      <c r="H16" s="426"/>
      <c r="I16" s="550">
        <f>+[12]บช.ก.!I16</f>
        <v>0</v>
      </c>
      <c r="J16" s="15"/>
      <c r="K16" s="15"/>
      <c r="L16" s="15"/>
      <c r="M16" s="550" t="str">
        <f>+[12]บช.ก.!M16</f>
        <v>อยู่ระหว่างดำเนินการซ่อมทำตามสัญญาจ้างฯ</v>
      </c>
      <c r="N16" s="407">
        <v>2</v>
      </c>
      <c r="O16" s="400"/>
      <c r="P16" s="400"/>
      <c r="Q16" s="400"/>
      <c r="R16" s="400"/>
      <c r="S16" s="400"/>
    </row>
    <row r="17" spans="1:19" s="16" customFormat="1" ht="45" x14ac:dyDescent="0.2">
      <c r="A17" s="261">
        <v>7</v>
      </c>
      <c r="B17" s="261"/>
      <c r="C17" s="554" t="s">
        <v>230</v>
      </c>
      <c r="D17" s="261" t="s">
        <v>17</v>
      </c>
      <c r="E17" s="555" t="s">
        <v>231</v>
      </c>
      <c r="F17" s="534">
        <v>597000</v>
      </c>
      <c r="G17" s="281"/>
      <c r="H17" s="281"/>
      <c r="I17" s="283">
        <f>+[12]บช.ก.!I17</f>
        <v>0</v>
      </c>
      <c r="J17" s="15"/>
      <c r="K17" s="15"/>
      <c r="L17" s="15"/>
      <c r="M17" s="283" t="str">
        <f>+[12]บช.ก.!M17</f>
        <v>27 พ.ย.58 ขอรับความเห็นชอบ</v>
      </c>
      <c r="N17" s="407">
        <v>1</v>
      </c>
      <c r="O17" s="400"/>
      <c r="P17" s="400"/>
      <c r="Q17" s="400"/>
      <c r="R17" s="400"/>
      <c r="S17" s="400"/>
    </row>
    <row r="18" spans="1:19" s="16" customFormat="1" ht="65.25" x14ac:dyDescent="0.2">
      <c r="A18" s="261">
        <v>8</v>
      </c>
      <c r="B18" s="261"/>
      <c r="C18" s="554" t="s">
        <v>230</v>
      </c>
      <c r="D18" s="261" t="s">
        <v>17</v>
      </c>
      <c r="E18" s="555" t="s">
        <v>232</v>
      </c>
      <c r="F18" s="534">
        <v>1506000</v>
      </c>
      <c r="G18" s="281"/>
      <c r="H18" s="281"/>
      <c r="I18" s="283" t="str">
        <f>+[12]บช.ก.!I18</f>
        <v>4 พ.ย.58 เปิดซองสอบราคา</v>
      </c>
      <c r="J18" s="15"/>
      <c r="K18" s="15"/>
      <c r="L18" s="15"/>
      <c r="M18" s="283" t="str">
        <f>+[12]บช.ก.!M18</f>
        <v>16 พ.ย.58 ทำสัญญา  สัญญาเลขที่ 1/2559 ลง 16 พ.ย.58 วงเงิน 696,000 บาท</v>
      </c>
      <c r="N18" s="407">
        <v>1</v>
      </c>
      <c r="O18" s="400"/>
      <c r="P18" s="400"/>
      <c r="Q18" s="400"/>
      <c r="R18" s="400"/>
      <c r="S18" s="400"/>
    </row>
    <row r="19" spans="1:19" s="16" customFormat="1" ht="65.25" x14ac:dyDescent="0.2">
      <c r="A19" s="261">
        <v>9</v>
      </c>
      <c r="B19" s="261"/>
      <c r="C19" s="554" t="s">
        <v>230</v>
      </c>
      <c r="D19" s="261" t="s">
        <v>17</v>
      </c>
      <c r="E19" s="555" t="s">
        <v>233</v>
      </c>
      <c r="F19" s="534">
        <v>1238000</v>
      </c>
      <c r="G19" s="281"/>
      <c r="H19" s="281"/>
      <c r="I19" s="283" t="str">
        <f>+[12]บช.ก.!I19</f>
        <v>4 พ.ย.58 เปิดซองสอบราคา</v>
      </c>
      <c r="J19" s="15"/>
      <c r="K19" s="15"/>
      <c r="L19" s="15"/>
      <c r="M19" s="283" t="str">
        <f>+[12]บช.ก.!M19</f>
        <v>16 พ.ย.58 ทำสัญญา สัญญาเลขที่ 2/2559 ลง 16 พ.ย.58 วงเงิน 1,220,000 บาท</v>
      </c>
      <c r="N19" s="407">
        <v>1</v>
      </c>
      <c r="O19" s="400"/>
      <c r="P19" s="400"/>
      <c r="Q19" s="400"/>
      <c r="R19" s="400"/>
      <c r="S19" s="400"/>
    </row>
    <row r="20" spans="1:19" s="16" customFormat="1" ht="65.25" x14ac:dyDescent="0.2">
      <c r="A20" s="261">
        <v>10</v>
      </c>
      <c r="B20" s="261"/>
      <c r="C20" s="554" t="s">
        <v>234</v>
      </c>
      <c r="D20" s="261" t="s">
        <v>17</v>
      </c>
      <c r="E20" s="555" t="s">
        <v>235</v>
      </c>
      <c r="F20" s="534">
        <v>450000</v>
      </c>
      <c r="G20" s="281"/>
      <c r="H20" s="281"/>
      <c r="I20" s="508">
        <f>+[12]บช.ก.!I20</f>
        <v>0</v>
      </c>
      <c r="J20" s="497"/>
      <c r="K20" s="497"/>
      <c r="L20" s="497"/>
      <c r="M20" s="508" t="str">
        <f>+[12]บช.ก.!M20</f>
        <v>   10 - 20 พ.ย.58 ประกาศสอบราคา    23 พ.ย.58 เปิดซอง ยกเลิก ขอรับความเห็นชอบใหม่เมื่อ 27 พ.ย.58  </v>
      </c>
      <c r="N20" s="407">
        <v>1</v>
      </c>
      <c r="O20" s="400"/>
      <c r="P20" s="400"/>
      <c r="Q20" s="400"/>
      <c r="R20" s="400"/>
      <c r="S20" s="400"/>
    </row>
    <row r="21" spans="1:19" s="16" customFormat="1" ht="65.25" x14ac:dyDescent="0.2">
      <c r="A21" s="261">
        <v>11</v>
      </c>
      <c r="B21" s="261"/>
      <c r="C21" s="554" t="s">
        <v>234</v>
      </c>
      <c r="D21" s="261" t="s">
        <v>17</v>
      </c>
      <c r="E21" s="555" t="s">
        <v>236</v>
      </c>
      <c r="F21" s="534">
        <v>204000</v>
      </c>
      <c r="G21" s="281"/>
      <c r="H21" s="281"/>
      <c r="I21" s="508">
        <f>+[12]บช.ก.!I21</f>
        <v>0</v>
      </c>
      <c r="J21" s="497"/>
      <c r="K21" s="497"/>
      <c r="L21" s="497"/>
      <c r="M21" s="508" t="str">
        <f>+[12]บช.ก.!M21</f>
        <v>10 - 20 พ.ย.58 ประกาศสอบราคา 23 พ.ย.58  เปิดซอง ยกเลิก ขอรับความเห็นชอบใหม่ 27 พ.ย.58</v>
      </c>
      <c r="N21" s="407">
        <v>1</v>
      </c>
      <c r="O21" s="400"/>
      <c r="P21" s="400"/>
      <c r="Q21" s="400"/>
      <c r="R21" s="400"/>
      <c r="S21" s="400"/>
    </row>
    <row r="22" spans="1:19" s="16" customFormat="1" ht="65.25" x14ac:dyDescent="0.2">
      <c r="A22" s="261">
        <v>12</v>
      </c>
      <c r="B22" s="261"/>
      <c r="C22" s="554" t="s">
        <v>234</v>
      </c>
      <c r="D22" s="261" t="s">
        <v>17</v>
      </c>
      <c r="E22" s="555" t="s">
        <v>237</v>
      </c>
      <c r="F22" s="534">
        <v>79300</v>
      </c>
      <c r="G22" s="281"/>
      <c r="H22" s="281"/>
      <c r="I22" s="508">
        <f>+[12]บช.ก.!I22</f>
        <v>0</v>
      </c>
      <c r="J22" s="497"/>
      <c r="K22" s="497"/>
      <c r="L22" s="497"/>
      <c r="M22" s="508" t="str">
        <f>+[12]บช.ก.!M22</f>
        <v> 10 - 20 พ.ย.58 ประกาศสอบราคา 23 พ.ย.58 เปิดซอง ยกเลิก ขอรับความเห็นชอบใหม่ 27 พ.ย.58 </v>
      </c>
      <c r="N22" s="407">
        <v>1</v>
      </c>
      <c r="O22" s="400"/>
      <c r="P22" s="400"/>
      <c r="Q22" s="400"/>
      <c r="R22" s="400"/>
      <c r="S22" s="400"/>
    </row>
    <row r="23" spans="1:19" s="16" customFormat="1" ht="99.75" x14ac:dyDescent="0.2">
      <c r="A23" s="425">
        <v>13</v>
      </c>
      <c r="B23" s="425"/>
      <c r="C23" s="556" t="s">
        <v>238</v>
      </c>
      <c r="D23" s="425" t="s">
        <v>17</v>
      </c>
      <c r="E23" s="541" t="s">
        <v>239</v>
      </c>
      <c r="F23" s="526">
        <v>10752000</v>
      </c>
      <c r="G23" s="426"/>
      <c r="H23" s="426"/>
      <c r="I23" s="426">
        <f>+[12]บช.ก.!I23</f>
        <v>0</v>
      </c>
      <c r="J23" s="31"/>
      <c r="K23" s="15"/>
      <c r="L23" s="15"/>
      <c r="M23" s="505" t="str">
        <f>+[12]บช.ก.!M23</f>
        <v> อยู่ระหว่างให้บริษัทฯ ที่สนใจจัดทำเอกสารเพื่อยื่นเสนอราคา </v>
      </c>
      <c r="N23" s="407">
        <v>2</v>
      </c>
      <c r="O23" s="400"/>
      <c r="P23" s="400"/>
      <c r="Q23" s="400"/>
      <c r="R23" s="400"/>
      <c r="S23" s="400"/>
    </row>
    <row r="24" spans="1:19" s="16" customFormat="1" ht="48.75" customHeight="1" x14ac:dyDescent="0.2">
      <c r="A24" s="261">
        <v>14</v>
      </c>
      <c r="B24" s="472"/>
      <c r="C24" s="554" t="s">
        <v>80</v>
      </c>
      <c r="D24" s="261" t="s">
        <v>17</v>
      </c>
      <c r="E24" s="555" t="s">
        <v>240</v>
      </c>
      <c r="F24" s="534">
        <v>230000</v>
      </c>
      <c r="G24" s="281"/>
      <c r="H24" s="281"/>
      <c r="I24" s="508" t="str">
        <f>+[12]บช.ก.!I24</f>
        <v>ขอรับความเห็นชอบเรียบร้อย</v>
      </c>
      <c r="J24" s="497"/>
      <c r="K24" s="497"/>
      <c r="L24" s="497"/>
      <c r="M24" s="508" t="str">
        <f>+[12]บช.ก.!M24</f>
        <v> อยู่ระหว่างขออนุมัติจัดซื้อ </v>
      </c>
      <c r="N24" s="407">
        <v>1</v>
      </c>
      <c r="O24" s="400"/>
      <c r="P24" s="400"/>
      <c r="Q24" s="400"/>
      <c r="R24" s="400"/>
      <c r="S24" s="400"/>
    </row>
    <row r="25" spans="1:19" s="16" customFormat="1" ht="48.75" customHeight="1" x14ac:dyDescent="0.2">
      <c r="A25" s="261">
        <v>15</v>
      </c>
      <c r="B25" s="472"/>
      <c r="C25" s="554" t="s">
        <v>80</v>
      </c>
      <c r="D25" s="261" t="s">
        <v>17</v>
      </c>
      <c r="E25" s="555" t="s">
        <v>241</v>
      </c>
      <c r="F25" s="534">
        <v>462000</v>
      </c>
      <c r="G25" s="281"/>
      <c r="H25" s="281"/>
      <c r="I25" s="508" t="str">
        <f>+[12]บช.ก.!I25</f>
        <v>ขอรับความเห็นชอบเรียบร้อย</v>
      </c>
      <c r="J25" s="497"/>
      <c r="K25" s="497"/>
      <c r="L25" s="497"/>
      <c r="M25" s="508" t="str">
        <f>+[12]บช.ก.!M25</f>
        <v>อยู่ระหว่างขออนุมัติจัดซื้อ</v>
      </c>
      <c r="N25" s="407">
        <v>1</v>
      </c>
      <c r="O25" s="400"/>
      <c r="P25" s="400"/>
      <c r="Q25" s="400"/>
      <c r="R25" s="400"/>
      <c r="S25" s="400"/>
    </row>
    <row r="26" spans="1:19" s="16" customFormat="1" ht="48.75" customHeight="1" x14ac:dyDescent="0.2">
      <c r="A26" s="261">
        <v>16</v>
      </c>
      <c r="B26" s="261"/>
      <c r="C26" s="554" t="s">
        <v>80</v>
      </c>
      <c r="D26" s="261" t="s">
        <v>17</v>
      </c>
      <c r="E26" s="555" t="s">
        <v>242</v>
      </c>
      <c r="F26" s="534">
        <v>136000</v>
      </c>
      <c r="G26" s="281"/>
      <c r="H26" s="281"/>
      <c r="I26" s="508" t="str">
        <f>+[12]บช.ก.!I26</f>
        <v>ขอรับความเห็นชอบเรียบร้อย</v>
      </c>
      <c r="J26" s="497"/>
      <c r="K26" s="497"/>
      <c r="L26" s="497"/>
      <c r="M26" s="508" t="str">
        <f>+[12]บช.ก.!M26</f>
        <v>อยู่ระหว่างขออนุมัติจัดซื้อ</v>
      </c>
      <c r="N26" s="407">
        <v>1</v>
      </c>
      <c r="O26" s="400"/>
      <c r="P26" s="400"/>
      <c r="Q26" s="400"/>
      <c r="R26" s="400"/>
      <c r="S26" s="400"/>
    </row>
    <row r="27" spans="1:19" s="16" customFormat="1" ht="65.25" x14ac:dyDescent="0.2">
      <c r="A27" s="261">
        <v>17</v>
      </c>
      <c r="B27" s="261"/>
      <c r="C27" s="554" t="s">
        <v>80</v>
      </c>
      <c r="D27" s="261" t="s">
        <v>17</v>
      </c>
      <c r="E27" s="555" t="s">
        <v>243</v>
      </c>
      <c r="F27" s="534">
        <v>320000</v>
      </c>
      <c r="G27" s="281"/>
      <c r="H27" s="281"/>
      <c r="I27" s="508" t="str">
        <f>+[12]บช.ก.!I27</f>
        <v>ขอรับความเห็นชอบเรียบร้อย</v>
      </c>
      <c r="J27" s="497"/>
      <c r="K27" s="497"/>
      <c r="L27" s="497"/>
      <c r="M27" s="508" t="str">
        <f>+[12]บช.ก.!M27</f>
        <v>อยู่ระหว่างขออนุมัติจัดซื้อ</v>
      </c>
      <c r="N27" s="407">
        <v>1</v>
      </c>
      <c r="O27" s="400"/>
      <c r="P27" s="400"/>
      <c r="Q27" s="400"/>
      <c r="R27" s="400"/>
      <c r="S27" s="400"/>
    </row>
    <row r="28" spans="1:19" s="16" customFormat="1" ht="46.5" customHeight="1" x14ac:dyDescent="0.2">
      <c r="A28" s="261">
        <v>18</v>
      </c>
      <c r="B28" s="472"/>
      <c r="C28" s="554" t="s">
        <v>80</v>
      </c>
      <c r="D28" s="261" t="s">
        <v>17</v>
      </c>
      <c r="E28" s="555" t="s">
        <v>244</v>
      </c>
      <c r="F28" s="534">
        <v>120000</v>
      </c>
      <c r="G28" s="281"/>
      <c r="H28" s="281"/>
      <c r="I28" s="508" t="str">
        <f>+[12]บช.ก.!I28</f>
        <v>ขอรับความเห็นชอบเรียบร้อย</v>
      </c>
      <c r="J28" s="497"/>
      <c r="K28" s="497"/>
      <c r="L28" s="497"/>
      <c r="M28" s="508" t="str">
        <f>+[12]บช.ก.!M28</f>
        <v>อยู่ระหว่างขออนุมัติจัดซื้อ</v>
      </c>
      <c r="N28" s="407">
        <v>1</v>
      </c>
      <c r="O28" s="400"/>
      <c r="P28" s="400"/>
      <c r="Q28" s="400"/>
      <c r="R28" s="400"/>
      <c r="S28" s="400"/>
    </row>
    <row r="29" spans="1:19" s="16" customFormat="1" ht="44.25" customHeight="1" x14ac:dyDescent="0.2">
      <c r="A29" s="261">
        <v>19</v>
      </c>
      <c r="B29" s="261"/>
      <c r="C29" s="554" t="s">
        <v>80</v>
      </c>
      <c r="D29" s="261" t="s">
        <v>17</v>
      </c>
      <c r="E29" s="555" t="s">
        <v>245</v>
      </c>
      <c r="F29" s="534">
        <v>73000</v>
      </c>
      <c r="G29" s="281"/>
      <c r="H29" s="281"/>
      <c r="I29" s="508" t="str">
        <f>+[12]บช.ก.!I29</f>
        <v>ขอรับความเห็นชอบเรียบร้อย</v>
      </c>
      <c r="J29" s="497"/>
      <c r="K29" s="497"/>
      <c r="L29" s="497"/>
      <c r="M29" s="508" t="str">
        <f>+[12]บช.ก.!M29</f>
        <v>อยู่ระหว่างขออนุมัติจัดซื้อ</v>
      </c>
      <c r="N29" s="407">
        <v>1</v>
      </c>
      <c r="O29" s="400"/>
      <c r="P29" s="400"/>
      <c r="Q29" s="400"/>
      <c r="R29" s="400"/>
      <c r="S29" s="400"/>
    </row>
    <row r="30" spans="1:19" s="16" customFormat="1" ht="45" x14ac:dyDescent="0.2">
      <c r="A30" s="261">
        <v>20</v>
      </c>
      <c r="B30" s="261"/>
      <c r="C30" s="554" t="s">
        <v>80</v>
      </c>
      <c r="D30" s="261" t="s">
        <v>17</v>
      </c>
      <c r="E30" s="555" t="s">
        <v>246</v>
      </c>
      <c r="F30" s="534">
        <v>523000</v>
      </c>
      <c r="G30" s="281"/>
      <c r="H30" s="281"/>
      <c r="I30" s="508" t="str">
        <f>+[12]บช.ก.!I30</f>
        <v>ขอรับความเห็นชอบเรียบร้อย</v>
      </c>
      <c r="J30" s="497"/>
      <c r="K30" s="497"/>
      <c r="L30" s="497"/>
      <c r="M30" s="508" t="str">
        <f>+[12]บช.ก.!M30</f>
        <v> อยู่ระหว่างประกาศสอบราคา เปิดซองวันที่ 1 ธ.ค.58</v>
      </c>
      <c r="N30" s="407">
        <v>1</v>
      </c>
      <c r="O30" s="400"/>
      <c r="P30" s="400"/>
      <c r="Q30" s="400"/>
      <c r="R30" s="400"/>
      <c r="S30" s="400"/>
    </row>
    <row r="31" spans="1:19" s="16" customFormat="1" ht="65.25" x14ac:dyDescent="0.2">
      <c r="A31" s="425">
        <v>21</v>
      </c>
      <c r="B31" s="425"/>
      <c r="C31" s="557" t="s">
        <v>98</v>
      </c>
      <c r="D31" s="425" t="s">
        <v>17</v>
      </c>
      <c r="E31" s="541" t="s">
        <v>247</v>
      </c>
      <c r="F31" s="526">
        <v>3584000</v>
      </c>
      <c r="G31" s="426"/>
      <c r="H31" s="426"/>
      <c r="I31" s="505">
        <f>+[12]บช.ก.!I31</f>
        <v>0</v>
      </c>
      <c r="J31" s="497"/>
      <c r="K31" s="497"/>
      <c r="L31" s="497"/>
      <c r="M31" s="505" t="str">
        <f>+[12]บช.ก.!M31</f>
        <v> อยู่ระหว่างคณะกรรมการพิจารณาขอบเขตของงาน (TOR)</v>
      </c>
      <c r="N31" s="407">
        <v>2</v>
      </c>
      <c r="O31" s="400"/>
      <c r="P31" s="400"/>
      <c r="Q31" s="400"/>
      <c r="R31" s="400"/>
      <c r="S31" s="400"/>
    </row>
    <row r="32" spans="1:19" s="16" customFormat="1" ht="66" customHeight="1" x14ac:dyDescent="0.2">
      <c r="A32" s="261">
        <v>22</v>
      </c>
      <c r="B32" s="261"/>
      <c r="C32" s="554" t="s">
        <v>98</v>
      </c>
      <c r="D32" s="261" t="s">
        <v>17</v>
      </c>
      <c r="E32" s="555" t="s">
        <v>248</v>
      </c>
      <c r="F32" s="534">
        <v>1568000</v>
      </c>
      <c r="G32" s="281"/>
      <c r="H32" s="281"/>
      <c r="I32" s="508">
        <f>+[12]บช.ก.!I32</f>
        <v>0</v>
      </c>
      <c r="J32" s="497"/>
      <c r="K32" s="497"/>
      <c r="L32" s="497"/>
      <c r="M32" s="508" t="str">
        <f>+[12]บช.ก.!M32</f>
        <v>อยู่ระหว่างประกาศสอบราคา วันที่ 26 พ.ย.58 - 8 ธ.ค.58</v>
      </c>
      <c r="N32" s="407">
        <v>1</v>
      </c>
      <c r="O32" s="400"/>
      <c r="P32" s="400"/>
      <c r="Q32" s="400"/>
      <c r="R32" s="400"/>
      <c r="S32" s="400"/>
    </row>
    <row r="33" spans="1:46" s="16" customFormat="1" ht="21.75" customHeight="1" x14ac:dyDescent="0.2">
      <c r="A33" s="14"/>
      <c r="B33" s="476"/>
      <c r="C33" s="476"/>
      <c r="D33" s="476"/>
      <c r="E33" s="477"/>
      <c r="F33" s="478"/>
      <c r="G33" s="31"/>
      <c r="H33" s="31"/>
      <c r="I33" s="497"/>
      <c r="J33" s="31"/>
      <c r="K33" s="15"/>
      <c r="L33" s="15"/>
      <c r="M33" s="497"/>
      <c r="N33" s="407"/>
      <c r="O33" s="400"/>
      <c r="P33" s="400"/>
      <c r="Q33" s="400"/>
      <c r="R33" s="400"/>
      <c r="S33" s="400"/>
    </row>
    <row r="34" spans="1:46" s="12" customFormat="1" x14ac:dyDescent="0.5">
      <c r="A34" s="232">
        <f>+A32</f>
        <v>22</v>
      </c>
      <c r="B34" s="232"/>
      <c r="C34" s="232"/>
      <c r="D34" s="232"/>
      <c r="E34" s="233" t="s">
        <v>58</v>
      </c>
      <c r="F34" s="297">
        <f>SUM(F11:F32)</f>
        <v>62094300</v>
      </c>
      <c r="G34" s="234">
        <f>SUM(G33:G33)</f>
        <v>0</v>
      </c>
      <c r="H34" s="234"/>
      <c r="I34" s="234"/>
      <c r="J34" s="234">
        <f>SUM(J33:J33)</f>
        <v>0</v>
      </c>
      <c r="K34" s="234">
        <f>SUM(K33:K33)</f>
        <v>0</v>
      </c>
      <c r="L34" s="234">
        <f>SUM(L33:L33)</f>
        <v>0</v>
      </c>
      <c r="M34" s="234"/>
      <c r="N34" s="406"/>
      <c r="O34" s="397">
        <f>+F34+G34</f>
        <v>62094300</v>
      </c>
      <c r="P34" s="398"/>
      <c r="Q34" s="398"/>
      <c r="R34" s="399"/>
      <c r="S34" s="399"/>
    </row>
    <row r="35" spans="1:46" s="16" customFormat="1" x14ac:dyDescent="0.2">
      <c r="A35" s="14"/>
      <c r="B35" s="14"/>
      <c r="C35" s="14"/>
      <c r="D35" s="14"/>
      <c r="E35" s="27" t="s">
        <v>59</v>
      </c>
      <c r="F35" s="304"/>
      <c r="G35" s="31"/>
      <c r="H35" s="31"/>
      <c r="I35" s="497"/>
      <c r="J35" s="31"/>
      <c r="K35" s="15"/>
      <c r="L35" s="15"/>
      <c r="M35" s="497"/>
      <c r="N35" s="407"/>
      <c r="O35" s="400"/>
      <c r="P35" s="400"/>
      <c r="Q35" s="400"/>
      <c r="R35" s="400"/>
      <c r="S35" s="400"/>
    </row>
    <row r="36" spans="1:46" s="16" customFormat="1" ht="87" x14ac:dyDescent="0.2">
      <c r="A36" s="425">
        <v>1</v>
      </c>
      <c r="B36" s="425"/>
      <c r="C36" s="557" t="s">
        <v>227</v>
      </c>
      <c r="D36" s="425" t="s">
        <v>249</v>
      </c>
      <c r="E36" s="541" t="s">
        <v>250</v>
      </c>
      <c r="F36" s="526">
        <v>8817000</v>
      </c>
      <c r="G36" s="426"/>
      <c r="H36" s="426"/>
      <c r="I36" s="426">
        <f>+[12]บช.ก.!I36</f>
        <v>0</v>
      </c>
      <c r="J36" s="31"/>
      <c r="K36" s="15"/>
      <c r="L36" s="15"/>
      <c r="M36" s="426" t="str">
        <f>+[12]บช.ก.!M36</f>
        <v>อยู่ระหว่างคณะกรรมการกำหนดราคากลาง ดำเนินการคำนวณราคากลาง และอยู่ระหว่างจัดทำร่างประกาศและร่างเอกสารประกวดราคา</v>
      </c>
      <c r="N36" s="407">
        <v>2</v>
      </c>
      <c r="O36" s="400"/>
      <c r="P36" s="400"/>
      <c r="Q36" s="400"/>
      <c r="R36" s="400"/>
      <c r="S36" s="400"/>
    </row>
    <row r="37" spans="1:46" s="16" customFormat="1" ht="23.25" customHeight="1" x14ac:dyDescent="0.2">
      <c r="A37" s="261"/>
      <c r="B37" s="261"/>
      <c r="C37" s="261"/>
      <c r="D37" s="261"/>
      <c r="E37" s="510"/>
      <c r="F37" s="537"/>
      <c r="G37" s="281"/>
      <c r="H37" s="281"/>
      <c r="I37" s="281"/>
      <c r="J37" s="31"/>
      <c r="K37" s="15"/>
      <c r="L37" s="15"/>
      <c r="M37" s="281"/>
      <c r="N37" s="407"/>
      <c r="O37" s="400"/>
      <c r="P37" s="400"/>
      <c r="Q37" s="400"/>
      <c r="R37" s="400"/>
      <c r="S37" s="400"/>
    </row>
    <row r="38" spans="1:46" s="16" customFormat="1" ht="22.5" thickBot="1" x14ac:dyDescent="0.55000000000000004">
      <c r="A38" s="235">
        <f>+A36</f>
        <v>1</v>
      </c>
      <c r="B38" s="235"/>
      <c r="C38" s="235"/>
      <c r="D38" s="235"/>
      <c r="E38" s="236" t="s">
        <v>60</v>
      </c>
      <c r="F38" s="298">
        <f>SUM(F36:F37)</f>
        <v>8817000</v>
      </c>
      <c r="G38" s="237">
        <f>SUM(G37:G37)</f>
        <v>0</v>
      </c>
      <c r="H38" s="237"/>
      <c r="I38" s="237"/>
      <c r="J38" s="237">
        <f>SUM(J37:J37)</f>
        <v>0</v>
      </c>
      <c r="K38" s="237">
        <f>SUM(K37:K37)</f>
        <v>0</v>
      </c>
      <c r="L38" s="237">
        <f>SUM(L37:L37)</f>
        <v>0</v>
      </c>
      <c r="M38" s="237"/>
      <c r="N38" s="405"/>
      <c r="O38" s="402">
        <f>+F38+G38</f>
        <v>8817000</v>
      </c>
      <c r="P38" s="398"/>
      <c r="Q38" s="398"/>
      <c r="R38" s="400"/>
      <c r="S38" s="400"/>
    </row>
    <row r="39" spans="1:46" s="480" customFormat="1" ht="22.5" thickBot="1" x14ac:dyDescent="0.55000000000000004">
      <c r="A39" s="238">
        <f>+A34+A38</f>
        <v>23</v>
      </c>
      <c r="B39" s="239"/>
      <c r="C39" s="239"/>
      <c r="D39" s="239"/>
      <c r="E39" s="239" t="s">
        <v>251</v>
      </c>
      <c r="F39" s="299">
        <f>F34+F38</f>
        <v>70911300</v>
      </c>
      <c r="G39" s="240">
        <f>+G34+G38</f>
        <v>0</v>
      </c>
      <c r="H39" s="240"/>
      <c r="I39" s="240"/>
      <c r="J39" s="240">
        <f>J34+J38</f>
        <v>0</v>
      </c>
      <c r="K39" s="240">
        <f>K34+K38</f>
        <v>0</v>
      </c>
      <c r="L39" s="240">
        <f>L34+L38</f>
        <v>0</v>
      </c>
      <c r="M39" s="240"/>
      <c r="N39" s="408"/>
      <c r="O39" s="397">
        <f>+O34+O38</f>
        <v>70911300</v>
      </c>
      <c r="P39" s="479"/>
      <c r="Q39" s="479"/>
      <c r="R39" s="399"/>
      <c r="S39" s="399"/>
      <c r="T39" s="12"/>
      <c r="U39" s="12"/>
      <c r="V39" s="12"/>
      <c r="W39" s="12"/>
      <c r="X39" s="12"/>
      <c r="Y39" s="12"/>
      <c r="Z39" s="12"/>
      <c r="AA39" s="12"/>
    </row>
    <row r="40" spans="1:46" s="16" customFormat="1" x14ac:dyDescent="0.2">
      <c r="A40" s="481"/>
      <c r="B40" s="481"/>
      <c r="C40" s="481"/>
      <c r="D40" s="481"/>
      <c r="E40" s="482"/>
      <c r="F40" s="558"/>
      <c r="G40" s="375"/>
      <c r="H40" s="375"/>
      <c r="I40" s="375"/>
      <c r="J40" s="375"/>
      <c r="K40" s="376"/>
      <c r="L40" s="376"/>
      <c r="M40" s="375"/>
      <c r="N40" s="407"/>
      <c r="O40" s="400"/>
      <c r="P40" s="400"/>
      <c r="Q40" s="400"/>
      <c r="R40" s="400"/>
      <c r="S40" s="400"/>
    </row>
    <row r="41" spans="1:46" s="16" customFormat="1" x14ac:dyDescent="0.2">
      <c r="A41" s="481"/>
      <c r="B41" s="481"/>
      <c r="C41" s="481"/>
      <c r="D41" s="481"/>
      <c r="E41" s="482"/>
      <c r="F41" s="558"/>
      <c r="G41" s="375"/>
      <c r="H41" s="375"/>
      <c r="I41" s="375"/>
      <c r="J41" s="375"/>
      <c r="K41" s="376"/>
      <c r="L41" s="376"/>
      <c r="M41" s="375"/>
      <c r="N41" s="407"/>
      <c r="O41" s="400"/>
      <c r="P41" s="400"/>
      <c r="Q41" s="400"/>
      <c r="R41" s="400"/>
      <c r="S41" s="400"/>
    </row>
    <row r="42" spans="1:46" s="16" customFormat="1" x14ac:dyDescent="0.2">
      <c r="A42" s="481"/>
      <c r="B42" s="481"/>
      <c r="C42" s="481"/>
      <c r="D42" s="481"/>
      <c r="E42" s="482"/>
      <c r="F42" s="558"/>
      <c r="G42" s="375"/>
      <c r="H42" s="375"/>
      <c r="I42" s="375"/>
      <c r="J42" s="375"/>
      <c r="K42" s="376"/>
      <c r="L42" s="376"/>
      <c r="M42" s="375"/>
      <c r="N42" s="407"/>
      <c r="O42" s="400"/>
      <c r="P42" s="400"/>
      <c r="Q42" s="400"/>
      <c r="R42" s="400"/>
      <c r="S42" s="400"/>
    </row>
    <row r="43" spans="1:46" s="16" customFormat="1" x14ac:dyDescent="0.5">
      <c r="A43" s="481"/>
      <c r="B43" s="481"/>
      <c r="C43" s="481"/>
      <c r="D43" s="481"/>
      <c r="E43" s="482"/>
      <c r="F43" s="32"/>
      <c r="G43" s="375"/>
      <c r="H43" s="375"/>
      <c r="I43" s="375"/>
      <c r="J43" s="375"/>
      <c r="K43" s="376"/>
      <c r="L43" s="376"/>
      <c r="M43" s="375"/>
      <c r="N43" s="407"/>
      <c r="O43" s="400"/>
      <c r="P43" s="400"/>
      <c r="Q43" s="400"/>
      <c r="R43" s="400"/>
      <c r="S43" s="400"/>
    </row>
    <row r="45" spans="1:46" s="77" customFormat="1" ht="22.5" thickBot="1" x14ac:dyDescent="0.55000000000000004">
      <c r="A45" s="483"/>
      <c r="B45" s="483"/>
      <c r="C45" s="483"/>
      <c r="D45" s="483"/>
      <c r="E45" s="77" t="s">
        <v>64</v>
      </c>
      <c r="F45" s="78"/>
      <c r="G45" s="229"/>
      <c r="H45" s="119"/>
      <c r="I45" s="119"/>
      <c r="J45" s="119"/>
      <c r="K45" s="484"/>
      <c r="L45" s="484"/>
      <c r="M45" s="119"/>
      <c r="N45" s="465"/>
      <c r="O45" s="399"/>
      <c r="P45" s="399"/>
      <c r="Q45" s="399"/>
      <c r="R45" s="399"/>
      <c r="S45" s="399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5"/>
      <c r="AQ45" s="485"/>
      <c r="AR45" s="485"/>
      <c r="AS45" s="485"/>
      <c r="AT45" s="485"/>
    </row>
    <row r="46" spans="1:46" s="77" customFormat="1" ht="22.5" thickTop="1" x14ac:dyDescent="0.5">
      <c r="A46" s="483"/>
      <c r="B46" s="483"/>
      <c r="C46" s="483"/>
      <c r="D46" s="483"/>
      <c r="E46" s="77" t="s">
        <v>65</v>
      </c>
      <c r="F46" s="270"/>
      <c r="G46" s="119"/>
      <c r="H46" s="119"/>
      <c r="I46" s="119"/>
      <c r="J46" s="119"/>
      <c r="K46" s="484"/>
      <c r="L46" s="484"/>
      <c r="M46" s="119"/>
      <c r="N46" s="465"/>
      <c r="O46" s="399"/>
      <c r="P46" s="399"/>
      <c r="Q46" s="399"/>
      <c r="R46" s="399"/>
      <c r="S46" s="399"/>
      <c r="T46" s="485"/>
      <c r="U46" s="485"/>
      <c r="V46" s="485"/>
      <c r="W46" s="485"/>
      <c r="X46" s="485"/>
      <c r="Y46" s="485"/>
      <c r="Z46" s="485"/>
      <c r="AA46" s="485"/>
      <c r="AB46" s="485"/>
      <c r="AC46" s="485"/>
      <c r="AD46" s="485"/>
      <c r="AE46" s="485"/>
      <c r="AF46" s="485"/>
      <c r="AG46" s="485"/>
      <c r="AH46" s="485"/>
      <c r="AI46" s="485"/>
      <c r="AJ46" s="485"/>
      <c r="AK46" s="485"/>
      <c r="AL46" s="485"/>
      <c r="AM46" s="485"/>
      <c r="AN46" s="485"/>
      <c r="AO46" s="485"/>
      <c r="AP46" s="485"/>
      <c r="AQ46" s="485"/>
      <c r="AR46" s="485"/>
      <c r="AS46" s="485"/>
      <c r="AT46" s="485"/>
    </row>
    <row r="47" spans="1:46" s="77" customFormat="1" x14ac:dyDescent="0.5">
      <c r="A47" s="483"/>
      <c r="B47" s="483"/>
      <c r="C47" s="483"/>
      <c r="D47" s="483"/>
      <c r="E47" s="77" t="s">
        <v>66</v>
      </c>
      <c r="F47" s="270"/>
      <c r="G47" s="119"/>
      <c r="H47" s="119"/>
      <c r="I47" s="119"/>
      <c r="J47" s="119"/>
      <c r="K47" s="484"/>
      <c r="L47" s="484"/>
      <c r="M47" s="119"/>
      <c r="N47" s="465"/>
      <c r="O47" s="399"/>
      <c r="P47" s="399"/>
      <c r="Q47" s="399"/>
      <c r="R47" s="399"/>
      <c r="S47" s="399"/>
      <c r="T47" s="485"/>
      <c r="U47" s="485"/>
      <c r="V47" s="485"/>
      <c r="W47" s="485"/>
      <c r="X47" s="485"/>
      <c r="Y47" s="485"/>
      <c r="Z47" s="485"/>
      <c r="AA47" s="485"/>
      <c r="AB47" s="485"/>
      <c r="AC47" s="485"/>
      <c r="AD47" s="485"/>
      <c r="AE47" s="485"/>
      <c r="AF47" s="485"/>
      <c r="AG47" s="485"/>
      <c r="AH47" s="485"/>
      <c r="AI47" s="485"/>
      <c r="AJ47" s="485"/>
      <c r="AK47" s="485"/>
      <c r="AL47" s="485"/>
      <c r="AM47" s="485"/>
      <c r="AN47" s="485"/>
      <c r="AO47" s="485"/>
      <c r="AP47" s="485"/>
      <c r="AQ47" s="485"/>
      <c r="AR47" s="485"/>
      <c r="AS47" s="485"/>
      <c r="AT47" s="485"/>
    </row>
    <row r="48" spans="1:46" s="77" customFormat="1" x14ac:dyDescent="0.5">
      <c r="A48" s="483"/>
      <c r="B48" s="483"/>
      <c r="C48" s="483"/>
      <c r="D48" s="483"/>
      <c r="E48" s="77" t="s">
        <v>67</v>
      </c>
      <c r="F48" s="270"/>
      <c r="G48" s="119"/>
      <c r="H48" s="119"/>
      <c r="I48" s="119"/>
      <c r="J48" s="119"/>
      <c r="K48" s="484"/>
      <c r="L48" s="484"/>
      <c r="M48" s="119"/>
      <c r="N48" s="465"/>
      <c r="O48" s="399"/>
      <c r="P48" s="399"/>
      <c r="Q48" s="399"/>
      <c r="R48" s="399"/>
      <c r="S48" s="399"/>
      <c r="T48" s="485"/>
      <c r="U48" s="485"/>
      <c r="V48" s="485"/>
      <c r="W48" s="485"/>
      <c r="X48" s="485"/>
      <c r="Y48" s="485"/>
      <c r="Z48" s="485"/>
      <c r="AA48" s="485"/>
      <c r="AB48" s="485"/>
      <c r="AC48" s="485"/>
      <c r="AD48" s="485"/>
      <c r="AE48" s="485"/>
      <c r="AF48" s="485"/>
      <c r="AG48" s="485"/>
      <c r="AH48" s="485"/>
      <c r="AI48" s="485"/>
      <c r="AJ48" s="485"/>
      <c r="AK48" s="485"/>
      <c r="AL48" s="485"/>
      <c r="AM48" s="485"/>
      <c r="AN48" s="485"/>
      <c r="AO48" s="485"/>
      <c r="AP48" s="485"/>
      <c r="AQ48" s="485"/>
      <c r="AR48" s="485"/>
      <c r="AS48" s="485"/>
      <c r="AT48" s="485"/>
    </row>
  </sheetData>
  <autoFilter ref="N1:N48"/>
  <mergeCells count="20">
    <mergeCell ref="C5:C8"/>
    <mergeCell ref="A1:M1"/>
    <mergeCell ref="A2:M2"/>
    <mergeCell ref="A3:M3"/>
    <mergeCell ref="A5:A8"/>
    <mergeCell ref="B5:B8"/>
    <mergeCell ref="G6:G8"/>
    <mergeCell ref="D5:D8"/>
    <mergeCell ref="F5:H5"/>
    <mergeCell ref="H6:H8"/>
    <mergeCell ref="P5:P8"/>
    <mergeCell ref="Q5:Q8"/>
    <mergeCell ref="F4:G4"/>
    <mergeCell ref="E5:E8"/>
    <mergeCell ref="J5:J8"/>
    <mergeCell ref="F6:F8"/>
    <mergeCell ref="I5:I8"/>
    <mergeCell ref="M5:M8"/>
    <mergeCell ref="K5:K8"/>
    <mergeCell ref="L5:L8"/>
  </mergeCells>
  <phoneticPr fontId="2" type="noConversion"/>
  <conditionalFormatting sqref="F11 F36 F17 F13:F14 F19:F32">
    <cfRule type="cellIs" dxfId="82" priority="4" stopIfTrue="1" operator="between">
      <formula>2000001</formula>
      <formula>500000000</formula>
    </cfRule>
  </conditionalFormatting>
  <conditionalFormatting sqref="F12">
    <cfRule type="cellIs" dxfId="81" priority="3" stopIfTrue="1" operator="between">
      <formula>2000001</formula>
      <formula>500000000</formula>
    </cfRule>
  </conditionalFormatting>
  <conditionalFormatting sqref="F15:F16">
    <cfRule type="cellIs" dxfId="80" priority="2" stopIfTrue="1" operator="between">
      <formula>2000001</formula>
      <formula>500000000</formula>
    </cfRule>
  </conditionalFormatting>
  <conditionalFormatting sqref="F18">
    <cfRule type="cellIs" dxfId="79" priority="1" stopIfTrue="1" operator="between">
      <formula>2000001</formula>
      <formula>500000000</formula>
    </cfRule>
  </conditionalFormatting>
  <pageMargins left="0.55118110236220474" right="0.55118110236220474" top="0.78740157480314965" bottom="0.43307086614173229" header="0.15748031496062992" footer="0.15748031496062992"/>
  <pageSetup paperSize="9" scale="80" orientation="landscape" blackAndWhite="1" r:id="rId1"/>
  <headerFooter alignWithMargins="0"/>
  <rowBreaks count="1" manualBreakCount="1">
    <brk id="3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view="pageBreakPreview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3" customWidth="1"/>
    <col min="2" max="3" width="6.85546875" style="3" customWidth="1"/>
    <col min="4" max="4" width="8.42578125" style="3" customWidth="1"/>
    <col min="5" max="5" width="43" style="1" customWidth="1"/>
    <col min="6" max="6" width="14.5703125" style="4" customWidth="1"/>
    <col min="7" max="8" width="15.42578125" style="101" customWidth="1"/>
    <col min="9" max="9" width="44.140625" style="101" customWidth="1"/>
    <col min="10" max="10" width="13.140625" style="101" hidden="1" customWidth="1"/>
    <col min="11" max="11" width="12.140625" style="150" hidden="1" customWidth="1"/>
    <col min="12" max="12" width="14.140625" style="150" hidden="1" customWidth="1"/>
    <col min="13" max="13" width="19.5703125" style="2" bestFit="1" customWidth="1"/>
    <col min="14" max="25" width="9.140625" style="2"/>
    <col min="26" max="16384" width="9.140625" style="1"/>
  </cols>
  <sheetData>
    <row r="1" spans="1:36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5">
      <c r="A3" s="656" t="s">
        <v>45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6" x14ac:dyDescent="0.5">
      <c r="A4" s="1"/>
      <c r="B4" s="1"/>
      <c r="C4" s="1"/>
      <c r="D4" s="1"/>
      <c r="F4" s="669"/>
      <c r="G4" s="669"/>
      <c r="H4" s="443"/>
      <c r="I4" s="443"/>
      <c r="J4" s="444"/>
      <c r="N4" s="230"/>
      <c r="O4" s="230"/>
    </row>
    <row r="5" spans="1:36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252</v>
      </c>
      <c r="J5" s="643" t="s">
        <v>50</v>
      </c>
      <c r="K5" s="643" t="s">
        <v>51</v>
      </c>
      <c r="L5" s="657" t="s">
        <v>52</v>
      </c>
      <c r="N5" s="668" t="s">
        <v>53</v>
      </c>
      <c r="O5" s="668" t="s">
        <v>54</v>
      </c>
    </row>
    <row r="6" spans="1:36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N6" s="668"/>
      <c r="O6" s="668"/>
    </row>
    <row r="7" spans="1:36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N7" s="668"/>
      <c r="O7" s="668"/>
    </row>
    <row r="8" spans="1:36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N8" s="668"/>
      <c r="O8" s="668"/>
    </row>
    <row r="9" spans="1:36" x14ac:dyDescent="0.5">
      <c r="A9" s="10"/>
      <c r="B9" s="10"/>
      <c r="C9" s="10"/>
      <c r="D9" s="10"/>
      <c r="E9" s="29" t="s">
        <v>253</v>
      </c>
      <c r="F9" s="10"/>
      <c r="G9" s="100"/>
      <c r="H9" s="100"/>
      <c r="I9" s="100"/>
      <c r="J9" s="100"/>
      <c r="K9" s="182"/>
      <c r="L9" s="182"/>
    </row>
    <row r="10" spans="1:36" s="7" customFormat="1" x14ac:dyDescent="0.2">
      <c r="A10" s="5"/>
      <c r="B10" s="5"/>
      <c r="C10" s="5"/>
      <c r="D10" s="5"/>
      <c r="E10" s="14" t="s">
        <v>2</v>
      </c>
      <c r="F10" s="26"/>
      <c r="G10" s="9"/>
      <c r="H10" s="9"/>
      <c r="I10" s="9"/>
      <c r="J10" s="9"/>
      <c r="K10" s="8"/>
      <c r="L10" s="8"/>
    </row>
    <row r="11" spans="1:36" s="7" customFormat="1" x14ac:dyDescent="0.2">
      <c r="A11" s="5"/>
      <c r="B11" s="11"/>
      <c r="C11" s="11"/>
      <c r="D11" s="11"/>
      <c r="E11" s="300"/>
      <c r="F11" s="302"/>
      <c r="G11" s="9"/>
      <c r="H11" s="9"/>
      <c r="I11" s="9"/>
      <c r="J11" s="9"/>
      <c r="K11" s="8"/>
      <c r="L11" s="8"/>
    </row>
    <row r="12" spans="1:36" s="12" customFormat="1" x14ac:dyDescent="0.5">
      <c r="A12" s="232">
        <f>+A11</f>
        <v>0</v>
      </c>
      <c r="B12" s="232"/>
      <c r="C12" s="232"/>
      <c r="D12" s="232"/>
      <c r="E12" s="233" t="s">
        <v>58</v>
      </c>
      <c r="F12" s="297">
        <f>SUM(F11:F11)</f>
        <v>0</v>
      </c>
      <c r="G12" s="234">
        <f>SUM(G11:G11)</f>
        <v>0</v>
      </c>
      <c r="H12" s="234">
        <f>SUM(H11:H11)</f>
        <v>0</v>
      </c>
      <c r="I12" s="234"/>
      <c r="J12" s="234">
        <f>SUM(J11:J11)</f>
        <v>0</v>
      </c>
      <c r="K12" s="234">
        <f>SUM(K11:K11)</f>
        <v>0</v>
      </c>
      <c r="L12" s="234">
        <f>SUM(L11:L11)</f>
        <v>0</v>
      </c>
      <c r="M12" s="138">
        <f>+F12+G12</f>
        <v>0</v>
      </c>
      <c r="N12" s="231"/>
      <c r="O12" s="231"/>
    </row>
    <row r="13" spans="1:36" s="16" customFormat="1" x14ac:dyDescent="0.2">
      <c r="A13" s="14"/>
      <c r="B13" s="14"/>
      <c r="C13" s="14"/>
      <c r="D13" s="14"/>
      <c r="E13" s="27" t="s">
        <v>59</v>
      </c>
      <c r="F13" s="304"/>
      <c r="G13" s="31"/>
      <c r="H13" s="31"/>
      <c r="I13" s="31"/>
      <c r="J13" s="31"/>
      <c r="K13" s="15"/>
      <c r="L13" s="15"/>
    </row>
    <row r="14" spans="1:36" s="7" customFormat="1" x14ac:dyDescent="0.2">
      <c r="A14" s="5"/>
      <c r="B14" s="5"/>
      <c r="C14" s="5"/>
      <c r="D14" s="5"/>
      <c r="E14" s="6"/>
      <c r="F14" s="303"/>
      <c r="G14" s="9"/>
      <c r="H14" s="9"/>
      <c r="I14" s="9"/>
      <c r="J14" s="9"/>
      <c r="K14" s="8"/>
      <c r="L14" s="8"/>
    </row>
    <row r="15" spans="1:36" s="16" customFormat="1" ht="22.5" thickBot="1" x14ac:dyDescent="0.55000000000000004">
      <c r="A15" s="235">
        <f>+A14</f>
        <v>0</v>
      </c>
      <c r="B15" s="235"/>
      <c r="C15" s="235"/>
      <c r="D15" s="235"/>
      <c r="E15" s="236" t="s">
        <v>60</v>
      </c>
      <c r="F15" s="298">
        <f>SUM(F14:F14)</f>
        <v>0</v>
      </c>
      <c r="G15" s="237">
        <f>SUM(G14:G14)</f>
        <v>0</v>
      </c>
      <c r="H15" s="237">
        <f>SUM(H14:H14)</f>
        <v>0</v>
      </c>
      <c r="I15" s="237"/>
      <c r="J15" s="237">
        <f>SUM(J14:J14)</f>
        <v>0</v>
      </c>
      <c r="K15" s="237">
        <f>SUM(K14:K14)</f>
        <v>0</v>
      </c>
      <c r="L15" s="237">
        <f>SUM(L14:L14)</f>
        <v>0</v>
      </c>
      <c r="M15" s="139">
        <f>+F15+G15</f>
        <v>0</v>
      </c>
      <c r="N15" s="231"/>
      <c r="O15" s="231"/>
    </row>
    <row r="16" spans="1:36" s="25" customFormat="1" ht="22.5" thickBot="1" x14ac:dyDescent="0.55000000000000004">
      <c r="A16" s="238">
        <f>+A12+A15</f>
        <v>0</v>
      </c>
      <c r="B16" s="239"/>
      <c r="C16" s="239"/>
      <c r="D16" s="239"/>
      <c r="E16" s="239" t="s">
        <v>254</v>
      </c>
      <c r="F16" s="299">
        <f>F12+F15</f>
        <v>0</v>
      </c>
      <c r="G16" s="240">
        <f>+G12+G15</f>
        <v>0</v>
      </c>
      <c r="H16" s="240">
        <f>+H12+H15</f>
        <v>0</v>
      </c>
      <c r="I16" s="240"/>
      <c r="J16" s="240">
        <f>J12+J15</f>
        <v>0</v>
      </c>
      <c r="K16" s="240">
        <f>K12+K15</f>
        <v>0</v>
      </c>
      <c r="L16" s="240">
        <f>L12+L15</f>
        <v>0</v>
      </c>
      <c r="M16" s="140">
        <f>+M12+M15</f>
        <v>0</v>
      </c>
      <c r="N16" s="241"/>
      <c r="O16" s="24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44" s="7" customFormat="1" x14ac:dyDescent="0.2">
      <c r="A17" s="13"/>
      <c r="B17" s="13"/>
      <c r="C17" s="13"/>
      <c r="D17" s="13"/>
      <c r="E17" s="28"/>
      <c r="F17" s="18"/>
      <c r="G17" s="17"/>
      <c r="H17" s="17"/>
      <c r="I17" s="17"/>
      <c r="J17" s="17"/>
      <c r="K17" s="99"/>
      <c r="L17" s="99"/>
    </row>
    <row r="18" spans="1:44" s="7" customFormat="1" x14ac:dyDescent="0.5">
      <c r="A18" s="13"/>
      <c r="B18" s="13"/>
      <c r="C18" s="13"/>
      <c r="D18" s="13"/>
      <c r="E18" s="28"/>
      <c r="F18" s="32"/>
      <c r="G18" s="17"/>
      <c r="H18" s="17"/>
      <c r="I18" s="17"/>
      <c r="J18" s="17"/>
      <c r="K18" s="99"/>
      <c r="L18" s="99"/>
    </row>
    <row r="20" spans="1:44" s="20" customFormat="1" ht="22.5" thickBot="1" x14ac:dyDescent="0.55000000000000004">
      <c r="A20" s="19"/>
      <c r="B20" s="19"/>
      <c r="C20" s="19"/>
      <c r="D20" s="19"/>
      <c r="E20" s="77" t="s">
        <v>64</v>
      </c>
      <c r="F20" s="78"/>
      <c r="G20" s="229"/>
      <c r="H20" s="119"/>
      <c r="I20" s="119"/>
      <c r="J20" s="119"/>
      <c r="K20" s="183"/>
      <c r="L20" s="183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s="20" customFormat="1" ht="22.5" thickTop="1" x14ac:dyDescent="0.5">
      <c r="A21" s="19"/>
      <c r="B21" s="19"/>
      <c r="C21" s="19"/>
      <c r="D21" s="19"/>
      <c r="E21" s="20" t="s">
        <v>65</v>
      </c>
      <c r="F21" s="22"/>
      <c r="G21" s="102"/>
      <c r="H21" s="102"/>
      <c r="I21" s="102"/>
      <c r="J21" s="102"/>
      <c r="K21" s="183"/>
      <c r="L21" s="183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s="20" customFormat="1" x14ac:dyDescent="0.5">
      <c r="A22" s="19"/>
      <c r="B22" s="19"/>
      <c r="C22" s="19"/>
      <c r="D22" s="19"/>
      <c r="E22" s="20" t="s">
        <v>66</v>
      </c>
      <c r="F22" s="22"/>
      <c r="G22" s="102"/>
      <c r="H22" s="102"/>
      <c r="I22" s="102"/>
      <c r="J22" s="102"/>
      <c r="K22" s="183"/>
      <c r="L22" s="183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s="20" customFormat="1" x14ac:dyDescent="0.5">
      <c r="A23" s="19"/>
      <c r="B23" s="19"/>
      <c r="C23" s="19"/>
      <c r="D23" s="19"/>
      <c r="E23" s="20" t="s">
        <v>67</v>
      </c>
      <c r="F23" s="22"/>
      <c r="G23" s="102"/>
      <c r="H23" s="102"/>
      <c r="I23" s="102"/>
      <c r="J23" s="102"/>
      <c r="K23" s="183"/>
      <c r="L23" s="183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</sheetData>
  <mergeCells count="19">
    <mergeCell ref="A1:L1"/>
    <mergeCell ref="A2:L2"/>
    <mergeCell ref="A3:L3"/>
    <mergeCell ref="A5:A8"/>
    <mergeCell ref="B5:B8"/>
    <mergeCell ref="D5:D8"/>
    <mergeCell ref="J5:J8"/>
    <mergeCell ref="E5:E8"/>
    <mergeCell ref="F6:F8"/>
    <mergeCell ref="F4:G4"/>
    <mergeCell ref="G6:G8"/>
    <mergeCell ref="I5:I8"/>
    <mergeCell ref="F5:H5"/>
    <mergeCell ref="H6:H8"/>
    <mergeCell ref="N5:N8"/>
    <mergeCell ref="O5:O8"/>
    <mergeCell ref="K5:K8"/>
    <mergeCell ref="L5:L8"/>
    <mergeCell ref="C5:C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workbookViewId="0">
      <selection activeCell="A3" sqref="A3:M3"/>
    </sheetView>
  </sheetViews>
  <sheetFormatPr defaultColWidth="9.140625" defaultRowHeight="21.75" x14ac:dyDescent="0.5"/>
  <cols>
    <col min="1" max="1" width="5.85546875" style="617" customWidth="1"/>
    <col min="2" max="3" width="6.85546875" style="617" customWidth="1"/>
    <col min="4" max="4" width="8.42578125" style="617" customWidth="1"/>
    <col min="5" max="5" width="43" style="460" customWidth="1"/>
    <col min="6" max="6" width="16.85546875" style="559" customWidth="1"/>
    <col min="7" max="7" width="17.42578125" style="488" customWidth="1"/>
    <col min="8" max="8" width="17.42578125" style="488" hidden="1" customWidth="1"/>
    <col min="9" max="9" width="32.28515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7109375" style="488" customWidth="1"/>
    <col min="14" max="14" width="33.85546875" style="12" customWidth="1"/>
    <col min="15" max="25" width="9.140625" style="12"/>
    <col min="26" max="16384" width="9.140625" style="460"/>
  </cols>
  <sheetData>
    <row r="1" spans="1:36" ht="27.75" x14ac:dyDescent="0.65">
      <c r="A1" s="655" t="s">
        <v>679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x14ac:dyDescent="0.5">
      <c r="A3" s="656" t="s">
        <v>685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</row>
    <row r="4" spans="1:36" x14ac:dyDescent="0.5">
      <c r="A4" s="460"/>
      <c r="B4" s="460"/>
      <c r="C4" s="460"/>
      <c r="D4" s="460"/>
      <c r="F4" s="654"/>
      <c r="G4" s="654"/>
      <c r="H4" s="617"/>
      <c r="I4" s="617"/>
      <c r="J4" s="616"/>
      <c r="M4" s="617"/>
      <c r="N4" s="618"/>
      <c r="O4" s="618"/>
    </row>
    <row r="5" spans="1:36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75</v>
      </c>
      <c r="J5" s="643" t="s">
        <v>50</v>
      </c>
      <c r="K5" s="643" t="s">
        <v>51</v>
      </c>
      <c r="L5" s="657" t="s">
        <v>52</v>
      </c>
      <c r="M5" s="651" t="s">
        <v>678</v>
      </c>
      <c r="N5" s="642" t="s">
        <v>53</v>
      </c>
      <c r="O5" s="642" t="s">
        <v>54</v>
      </c>
    </row>
    <row r="6" spans="1:36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642"/>
      <c r="O6" s="642"/>
    </row>
    <row r="7" spans="1:36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642"/>
      <c r="O7" s="642"/>
    </row>
    <row r="8" spans="1:36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642"/>
      <c r="O8" s="642"/>
    </row>
    <row r="9" spans="1:36" x14ac:dyDescent="0.5">
      <c r="A9" s="10"/>
      <c r="B9" s="10"/>
      <c r="C9" s="10"/>
      <c r="D9" s="10"/>
      <c r="E9" s="29" t="s">
        <v>16</v>
      </c>
      <c r="F9" s="10"/>
      <c r="G9" s="100"/>
      <c r="H9" s="100"/>
      <c r="I9" s="100"/>
      <c r="J9" s="100"/>
      <c r="K9" s="468"/>
      <c r="L9" s="468"/>
      <c r="M9" s="100"/>
    </row>
    <row r="10" spans="1:36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</row>
    <row r="11" spans="1:36" s="16" customFormat="1" ht="71.25" x14ac:dyDescent="0.2">
      <c r="A11" s="14">
        <v>1</v>
      </c>
      <c r="B11" s="14"/>
      <c r="C11" s="543" t="s">
        <v>185</v>
      </c>
      <c r="D11" s="261" t="s">
        <v>16</v>
      </c>
      <c r="E11" s="473" t="s">
        <v>682</v>
      </c>
      <c r="F11" s="474">
        <v>123510000</v>
      </c>
      <c r="G11" s="31"/>
      <c r="H11" s="31"/>
      <c r="I11" s="31"/>
      <c r="J11" s="31"/>
      <c r="K11" s="15"/>
      <c r="L11" s="15"/>
      <c r="M11" s="31"/>
    </row>
    <row r="12" spans="1:36" s="284" customFormat="1" ht="71.25" x14ac:dyDescent="0.2">
      <c r="A12" s="14">
        <v>2</v>
      </c>
      <c r="B12" s="261"/>
      <c r="C12" s="543" t="s">
        <v>185</v>
      </c>
      <c r="D12" s="261" t="s">
        <v>16</v>
      </c>
      <c r="E12" s="555" t="s">
        <v>683</v>
      </c>
      <c r="F12" s="534">
        <v>51490000</v>
      </c>
      <c r="G12" s="281"/>
      <c r="H12" s="281"/>
      <c r="I12" s="281"/>
      <c r="J12" s="281"/>
      <c r="K12" s="283"/>
      <c r="L12" s="283"/>
      <c r="M12" s="281"/>
    </row>
    <row r="13" spans="1:36" s="16" customFormat="1" x14ac:dyDescent="0.2">
      <c r="A13" s="14"/>
      <c r="B13" s="476"/>
      <c r="C13" s="476"/>
      <c r="D13" s="476"/>
      <c r="E13" s="477"/>
      <c r="F13" s="478"/>
      <c r="G13" s="31"/>
      <c r="H13" s="31"/>
      <c r="I13" s="31"/>
      <c r="J13" s="31"/>
      <c r="K13" s="15"/>
      <c r="L13" s="15"/>
      <c r="M13" s="31"/>
    </row>
    <row r="14" spans="1:36" s="12" customFormat="1" ht="22.5" thickBot="1" x14ac:dyDescent="0.55000000000000004">
      <c r="A14" s="232">
        <f>+A12</f>
        <v>2</v>
      </c>
      <c r="B14" s="232"/>
      <c r="C14" s="232"/>
      <c r="D14" s="232"/>
      <c r="E14" s="233" t="s">
        <v>58</v>
      </c>
      <c r="F14" s="297">
        <f>SUM(F11:F13)</f>
        <v>175000000</v>
      </c>
      <c r="G14" s="234">
        <f>SUM(G13:G13)</f>
        <v>0</v>
      </c>
      <c r="H14" s="234">
        <f>SUM(H13:H13)</f>
        <v>0</v>
      </c>
      <c r="I14" s="234"/>
      <c r="J14" s="234">
        <f>SUM(J13:J13)</f>
        <v>0</v>
      </c>
      <c r="K14" s="234">
        <f>SUM(K13:K13)</f>
        <v>0</v>
      </c>
      <c r="L14" s="234">
        <f>SUM(L13:L13)</f>
        <v>0</v>
      </c>
      <c r="M14" s="234"/>
      <c r="N14" s="231"/>
      <c r="O14" s="231"/>
    </row>
    <row r="15" spans="1:36" s="16" customFormat="1" hidden="1" x14ac:dyDescent="0.2">
      <c r="A15" s="14"/>
      <c r="B15" s="14"/>
      <c r="C15" s="14"/>
      <c r="D15" s="14"/>
      <c r="E15" s="27" t="s">
        <v>59</v>
      </c>
      <c r="F15" s="304"/>
      <c r="G15" s="31"/>
      <c r="H15" s="31"/>
      <c r="I15" s="31"/>
      <c r="J15" s="31"/>
      <c r="K15" s="15"/>
      <c r="L15" s="15"/>
      <c r="M15" s="31"/>
    </row>
    <row r="16" spans="1:36" s="16" customFormat="1" hidden="1" x14ac:dyDescent="0.2">
      <c r="A16" s="14"/>
      <c r="B16" s="261"/>
      <c r="C16" s="543"/>
      <c r="D16" s="261"/>
      <c r="E16" s="473"/>
      <c r="F16" s="474"/>
      <c r="G16" s="281"/>
      <c r="H16" s="281"/>
      <c r="I16" s="281"/>
      <c r="J16" s="31"/>
      <c r="K16" s="15"/>
      <c r="L16" s="15"/>
      <c r="M16" s="281"/>
    </row>
    <row r="17" spans="1:44" s="16" customFormat="1" hidden="1" x14ac:dyDescent="0.2">
      <c r="A17" s="261"/>
      <c r="B17" s="261"/>
      <c r="C17" s="554"/>
      <c r="D17" s="261"/>
      <c r="E17" s="533"/>
      <c r="F17" s="534"/>
      <c r="G17" s="281"/>
      <c r="H17" s="281"/>
      <c r="I17" s="281"/>
      <c r="J17" s="31"/>
      <c r="K17" s="15"/>
      <c r="L17" s="15"/>
      <c r="M17" s="281"/>
    </row>
    <row r="18" spans="1:44" s="16" customFormat="1" hidden="1" x14ac:dyDescent="0.2">
      <c r="A18" s="14"/>
      <c r="B18" s="14"/>
      <c r="C18" s="554"/>
      <c r="D18" s="261"/>
      <c r="E18" s="555"/>
      <c r="F18" s="534"/>
      <c r="G18" s="31"/>
      <c r="H18" s="31"/>
      <c r="I18" s="31"/>
      <c r="J18" s="31"/>
      <c r="K18" s="15"/>
      <c r="L18" s="15"/>
      <c r="M18" s="31"/>
    </row>
    <row r="19" spans="1:44" s="16" customFormat="1" hidden="1" x14ac:dyDescent="0.2">
      <c r="A19" s="14"/>
      <c r="B19" s="14"/>
      <c r="C19" s="14"/>
      <c r="D19" s="14"/>
      <c r="E19" s="477"/>
      <c r="F19" s="496"/>
      <c r="G19" s="31"/>
      <c r="H19" s="31"/>
      <c r="I19" s="31"/>
      <c r="J19" s="31"/>
      <c r="K19" s="15"/>
      <c r="L19" s="15"/>
      <c r="M19" s="31"/>
    </row>
    <row r="20" spans="1:44" s="16" customFormat="1" ht="22.5" hidden="1" thickBot="1" x14ac:dyDescent="0.55000000000000004">
      <c r="A20" s="235">
        <f>+A16</f>
        <v>0</v>
      </c>
      <c r="B20" s="235"/>
      <c r="C20" s="235"/>
      <c r="D20" s="235"/>
      <c r="E20" s="236" t="s">
        <v>60</v>
      </c>
      <c r="F20" s="298">
        <f>SUM(F16:F19)</f>
        <v>0</v>
      </c>
      <c r="G20" s="237">
        <f>SUM(G16:G19)</f>
        <v>0</v>
      </c>
      <c r="H20" s="237">
        <f>SUM(H16:H19)</f>
        <v>0</v>
      </c>
      <c r="I20" s="237"/>
      <c r="J20" s="237">
        <f>SUM(J16:J19)</f>
        <v>0</v>
      </c>
      <c r="K20" s="237">
        <f>SUM(K16:K19)</f>
        <v>0</v>
      </c>
      <c r="L20" s="237">
        <f>SUM(L16:L19)</f>
        <v>0</v>
      </c>
      <c r="M20" s="237"/>
      <c r="N20" s="231"/>
      <c r="O20" s="231"/>
    </row>
    <row r="21" spans="1:44" s="480" customFormat="1" ht="22.5" thickBot="1" x14ac:dyDescent="0.55000000000000004">
      <c r="A21" s="238">
        <f>+A14+A20</f>
        <v>2</v>
      </c>
      <c r="B21" s="239"/>
      <c r="C21" s="239"/>
      <c r="D21" s="239"/>
      <c r="E21" s="239" t="s">
        <v>220</v>
      </c>
      <c r="F21" s="299">
        <f>F14+F20</f>
        <v>175000000</v>
      </c>
      <c r="G21" s="240">
        <f>+G14+G20</f>
        <v>0</v>
      </c>
      <c r="H21" s="240">
        <f>+H14+H20</f>
        <v>0</v>
      </c>
      <c r="I21" s="240"/>
      <c r="J21" s="240">
        <f>J14+J20</f>
        <v>0</v>
      </c>
      <c r="K21" s="240">
        <f>K14+K20</f>
        <v>0</v>
      </c>
      <c r="L21" s="240">
        <f>L14+L20</f>
        <v>0</v>
      </c>
      <c r="M21" s="240"/>
      <c r="N21" s="619"/>
      <c r="O21" s="619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44" s="16" customFormat="1" x14ac:dyDescent="0.2">
      <c r="A22" s="481"/>
      <c r="B22" s="481"/>
      <c r="C22" s="481"/>
      <c r="D22" s="481"/>
      <c r="E22" s="482"/>
      <c r="F22" s="558"/>
      <c r="G22" s="375"/>
      <c r="H22" s="375"/>
      <c r="I22" s="375"/>
      <c r="J22" s="375"/>
      <c r="K22" s="376"/>
      <c r="L22" s="376"/>
      <c r="M22" s="375"/>
    </row>
    <row r="23" spans="1:44" s="16" customFormat="1" x14ac:dyDescent="0.2">
      <c r="A23" s="481"/>
      <c r="B23" s="481"/>
      <c r="C23" s="481"/>
      <c r="D23" s="481"/>
      <c r="E23" s="482"/>
      <c r="F23" s="558"/>
      <c r="G23" s="375"/>
      <c r="H23" s="375"/>
      <c r="I23" s="375"/>
      <c r="J23" s="375"/>
      <c r="K23" s="376"/>
      <c r="L23" s="376"/>
      <c r="M23" s="375"/>
    </row>
    <row r="24" spans="1:44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</row>
    <row r="25" spans="1:44" s="16" customFormat="1" x14ac:dyDescent="0.5">
      <c r="A25" s="481"/>
      <c r="B25" s="481"/>
      <c r="C25" s="481"/>
      <c r="D25" s="481"/>
      <c r="E25" s="621" t="s">
        <v>61</v>
      </c>
      <c r="F25" s="622">
        <f>SUM(บช.น.!F27+ภ.1!F18+ภ.2!F23+ภ.4!F21+ภ.6!F17+ภ.7!F15+ภ.9!F19+ศชต.!F27+บช.ก.!F34+บช.ปส.!F28+บช.ส.!F16+สตม.!F22+บช.ตชด.!F38+สง.นรป.!F13+สพฐ.ตร.!F19+สทส.!F22+บช.ศ.!F25+รร.นรต.!F18+รพ.ตร.!F17+สยศ.ตร.!F14+สกบ.!F44+สกพ.!F12+สงป.!F13+กมค.!F19+สง.ก.ตร.!F16+จต.!F13+สตส.!F13+สท.!F19+สง.ก.ต.ช.!F13+บ.ตร.!F22+วน.!F15)</f>
        <v>3115126100</v>
      </c>
      <c r="G25" s="415" t="s">
        <v>62</v>
      </c>
      <c r="H25" s="415"/>
      <c r="I25" s="375"/>
      <c r="J25" s="380">
        <f>SUM(บช.น.!A27+ภ.1!A18+ภ.2!A23+ภ.4!A21+ภ.6!A17+ภ.7!A15+ภ.9!A19+ศชต.!A27+ภ.5!A28+ภ.8!A27+บช.ก.!A34+บช.ปส.!A28+บช.ส.!A16+สตม.!A22+บช.ตชด.!A38+สง.นรป.!A13+สพฐ.ตร.!A19+สทส.!A22+บช.ศ.!A25+รร.นรต.!A18+รพ.ตร.!A17+สยศ.ตร.!A14+สกบ.!A44+สกพ.!A12+สงป.!A13+กมค.!A19+สง.ก.ตร.!A16+จต.!A13+สตส.!A13+สท.!A19+สง.ก.ต.ช.!A13+บ.ตร.!A22+วน.!A15+สลก.ตร.!A19+ตท.!A21)</f>
        <v>275</v>
      </c>
      <c r="K25" s="376"/>
      <c r="L25" s="376"/>
      <c r="M25" s="375"/>
    </row>
    <row r="26" spans="1:44" x14ac:dyDescent="0.5">
      <c r="E26" s="623" t="s">
        <v>63</v>
      </c>
      <c r="F26" s="624">
        <f>SUM(บช.น.!F31+ภ.1!F22+ภ.2!F29+ภ.3!F21+ภ.4!F25+ภ.5!F36+ภ.6!F33+ภ.7!F19+ภ.8!F35+ภ.9!F25+ศชต.!F54+บช.ก.!F38+บช.ส.!F22+สตม.!F33+บช.ตชด.!F82+สพฐ.ตร.!F25+สทส.!F27+บช.ศ.!F37+รพ.ตร.!F21+สกบ.!F54+สกพ.!F18+กมค.!F24+บ.ตร.!F29)</f>
        <v>1613643200</v>
      </c>
      <c r="G26" s="415" t="s">
        <v>62</v>
      </c>
      <c r="H26" s="415"/>
      <c r="I26" s="375"/>
      <c r="J26" s="620">
        <f>SUM(บช.น.!A31+ภ.1!A22+ภ.2!A29+ภ.3!A21+ภ.4!A25+ภ.5!A36+ภ.6!A33+ภ.7!A19+ภ.8!A35+ภ.9!A25+ศชต.!A54+บช.ก.!A38+บช.ปส.!A43+บช.ส.!A22+สตม.!A33+บช.ตชด.!A82+สง.นรป.!A17+สพฐ.ตร.!A25+สทส.!A27+บช.ศ.!A37+รร.นรต.!A22+รพ.ตร.!A21+สยศ.ตร.!A18+สกบ.!A54+สกพ.!A18+สงป.!A17+กมค.!A24+สง.ก.ตร.!A20+จต.!A17+สตส.!A17+สลก.ตร.!A23+ตท.!A25+สท.!A23+สง.ก.ต.ช.!A17+บ.ตร.!A29+วน.!A19)</f>
        <v>141</v>
      </c>
      <c r="M26" s="375"/>
    </row>
    <row r="27" spans="1:44" s="77" customFormat="1" ht="22.5" thickBot="1" x14ac:dyDescent="0.55000000000000004">
      <c r="A27" s="483"/>
      <c r="B27" s="483"/>
      <c r="C27" s="483"/>
      <c r="D27" s="483"/>
      <c r="E27" s="461" t="s">
        <v>64</v>
      </c>
      <c r="F27" s="625"/>
      <c r="G27" s="626"/>
      <c r="H27" s="627"/>
      <c r="I27" s="119"/>
      <c r="J27" s="119"/>
      <c r="K27" s="484"/>
      <c r="L27" s="484"/>
      <c r="M27" s="119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</row>
    <row r="28" spans="1:44" s="77" customFormat="1" ht="22.5" thickTop="1" x14ac:dyDescent="0.5">
      <c r="A28" s="483"/>
      <c r="B28" s="483"/>
      <c r="C28" s="483"/>
      <c r="D28" s="483"/>
      <c r="E28" s="461" t="s">
        <v>65</v>
      </c>
      <c r="F28" s="624"/>
      <c r="G28" s="627"/>
      <c r="H28" s="627"/>
      <c r="I28" s="119"/>
      <c r="J28" s="119"/>
      <c r="K28" s="484"/>
      <c r="L28" s="484"/>
      <c r="M28" s="119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</row>
    <row r="29" spans="1:44" s="77" customFormat="1" x14ac:dyDescent="0.5">
      <c r="A29" s="483"/>
      <c r="B29" s="483"/>
      <c r="C29" s="483"/>
      <c r="D29" s="483"/>
      <c r="E29" s="461" t="s">
        <v>66</v>
      </c>
      <c r="F29" s="624"/>
      <c r="G29" s="627"/>
      <c r="H29" s="627"/>
      <c r="I29" s="119"/>
      <c r="J29" s="119"/>
      <c r="K29" s="484"/>
      <c r="L29" s="484"/>
      <c r="M29" s="119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</row>
    <row r="30" spans="1:44" s="77" customFormat="1" x14ac:dyDescent="0.5">
      <c r="A30" s="483"/>
      <c r="B30" s="483"/>
      <c r="C30" s="483"/>
      <c r="D30" s="483"/>
      <c r="E30" s="461" t="s">
        <v>67</v>
      </c>
      <c r="F30" s="624"/>
      <c r="G30" s="627"/>
      <c r="H30" s="627"/>
      <c r="I30" s="119"/>
      <c r="J30" s="119"/>
      <c r="K30" s="484"/>
      <c r="L30" s="484"/>
      <c r="M30" s="119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</row>
    <row r="31" spans="1:44" x14ac:dyDescent="0.5">
      <c r="E31" s="461"/>
      <c r="F31" s="624"/>
      <c r="G31" s="627"/>
      <c r="H31" s="627"/>
    </row>
  </sheetData>
  <mergeCells count="20">
    <mergeCell ref="O5:O8"/>
    <mergeCell ref="F6:F8"/>
    <mergeCell ref="G6:G8"/>
    <mergeCell ref="H6:H8"/>
    <mergeCell ref="I5:I8"/>
    <mergeCell ref="J5:J8"/>
    <mergeCell ref="K5:K8"/>
    <mergeCell ref="L5:L8"/>
    <mergeCell ref="M5:M8"/>
    <mergeCell ref="N5:N8"/>
    <mergeCell ref="A1:M1"/>
    <mergeCell ref="A2:M2"/>
    <mergeCell ref="A3:M3"/>
    <mergeCell ref="F4:G4"/>
    <mergeCell ref="A5:A8"/>
    <mergeCell ref="B5:B8"/>
    <mergeCell ref="C5:C8"/>
    <mergeCell ref="D5:D8"/>
    <mergeCell ref="E5:E8"/>
    <mergeCell ref="F5:H5"/>
  </mergeCells>
  <pageMargins left="0.51181102362204722" right="0.51181102362204722" top="0.74803149606299213" bottom="0.74803149606299213" header="0.31496062992125984" footer="0.31496062992125984"/>
  <pageSetup paperSize="9" scale="82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66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42578125" style="486" customWidth="1"/>
    <col min="5" max="5" width="43" style="460" customWidth="1"/>
    <col min="6" max="6" width="14.5703125" style="559" customWidth="1"/>
    <col min="7" max="7" width="13.140625" style="488" customWidth="1"/>
    <col min="8" max="8" width="13.140625" style="488" hidden="1" customWidth="1"/>
    <col min="9" max="9" width="35.140625" style="488" customWidth="1"/>
    <col min="10" max="10" width="14.85546875" style="488" hidden="1" customWidth="1"/>
    <col min="11" max="11" width="14.85546875" style="464" hidden="1" customWidth="1"/>
    <col min="12" max="12" width="19.5703125" style="464" hidden="1" customWidth="1"/>
    <col min="13" max="13" width="36.42578125" style="488" customWidth="1"/>
    <col min="14" max="14" width="5.85546875" style="465" customWidth="1"/>
    <col min="15" max="15" width="19.5703125" style="399" bestFit="1" customWidth="1"/>
    <col min="16" max="16" width="9.140625" style="399"/>
    <col min="17" max="17" width="14.5703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9</v>
      </c>
      <c r="Q2" s="397" t="e">
        <f>+#REF!+#REF!+F11+#REF!+#REF!+#REF!+#REF!+#REF!+F16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18</v>
      </c>
      <c r="Q3" s="462" t="e">
        <f>+#REF!+#REF!+F12+F13+F14+F15+F17+F18+F20+F21+F22+#REF!+F23+F25+F26+#REF!+#REF!+#REF!</f>
        <v>#REF!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ht="23.25" customHeight="1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255</v>
      </c>
      <c r="P4" s="466">
        <v>1</v>
      </c>
      <c r="Q4" s="542">
        <f>+F24</f>
        <v>556854900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140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43.5" x14ac:dyDescent="0.2">
      <c r="A11" s="14">
        <v>1</v>
      </c>
      <c r="B11" s="14"/>
      <c r="C11" s="543" t="s">
        <v>256</v>
      </c>
      <c r="D11" s="261" t="s">
        <v>140</v>
      </c>
      <c r="E11" s="473" t="s">
        <v>257</v>
      </c>
      <c r="F11" s="474">
        <v>400000</v>
      </c>
      <c r="G11" s="31"/>
      <c r="H11" s="31"/>
      <c r="I11" s="508" t="str">
        <f>+[13]ปส.!I11</f>
        <v>ลงนามสัญญาแล้ว</v>
      </c>
      <c r="J11" s="508"/>
      <c r="K11" s="508"/>
      <c r="L11" s="508"/>
      <c r="M11" s="508" t="str">
        <f>+[13]ปส.!M11</f>
        <v>ส่งเรื่องเบิกจ่ายแล้ว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x14ac:dyDescent="0.2">
      <c r="A12" s="424">
        <v>2</v>
      </c>
      <c r="B12" s="424"/>
      <c r="C12" s="506" t="s">
        <v>139</v>
      </c>
      <c r="D12" s="425" t="s">
        <v>140</v>
      </c>
      <c r="E12" s="470" t="s">
        <v>258</v>
      </c>
      <c r="F12" s="471">
        <v>6000000</v>
      </c>
      <c r="G12" s="426"/>
      <c r="H12" s="426"/>
      <c r="I12" s="505" t="str">
        <f>+[13]ปส.!I12</f>
        <v>รอ ตร. อนุมัติให้ บช.ปส. เป็นหน่วยจัดหา</v>
      </c>
      <c r="J12" s="505"/>
      <c r="K12" s="505"/>
      <c r="L12" s="505"/>
      <c r="M12" s="505" t="str">
        <f>+[13]ปส.!M12</f>
        <v>ตร.มีบันทึกลง 6 พ.ย.58 สั่งการให้ สกบ.(สพ.) จัดหา</v>
      </c>
      <c r="N12" s="410">
        <v>2</v>
      </c>
      <c r="O12" s="400"/>
      <c r="P12" s="400"/>
      <c r="Q12" s="400"/>
      <c r="R12" s="400"/>
      <c r="S12" s="400"/>
    </row>
    <row r="13" spans="1:38" s="16" customFormat="1" ht="51" customHeight="1" x14ac:dyDescent="0.2">
      <c r="A13" s="424">
        <v>3</v>
      </c>
      <c r="B13" s="424"/>
      <c r="C13" s="506" t="s">
        <v>139</v>
      </c>
      <c r="D13" s="425" t="s">
        <v>140</v>
      </c>
      <c r="E13" s="470" t="s">
        <v>259</v>
      </c>
      <c r="F13" s="471">
        <v>5000000</v>
      </c>
      <c r="G13" s="426"/>
      <c r="H13" s="426"/>
      <c r="I13" s="505" t="str">
        <f>+[13]ปส.!I13</f>
        <v>อยู่ระหว่างจัดทำ SPEC ใหม่เพื่อให้ได้ครุภัณฑ์ ที่มีประสิทธิภาพกับการใช้งาน</v>
      </c>
      <c r="J13" s="505"/>
      <c r="K13" s="505"/>
      <c r="L13" s="505"/>
      <c r="M13" s="505" t="str">
        <f>+[13]ปส.!M13</f>
        <v>อยู่ระหว่างเสนอ ผบช.ปส. อนุมัติ Spec เพื่อใช้ประกอบการจัดหา</v>
      </c>
      <c r="N13" s="410">
        <v>2</v>
      </c>
      <c r="O13" s="400"/>
      <c r="P13" s="400"/>
      <c r="Q13" s="400"/>
      <c r="R13" s="400"/>
      <c r="S13" s="400"/>
    </row>
    <row r="14" spans="1:38" s="16" customFormat="1" ht="45" x14ac:dyDescent="0.2">
      <c r="A14" s="424">
        <v>4</v>
      </c>
      <c r="B14" s="424"/>
      <c r="C14" s="506" t="s">
        <v>139</v>
      </c>
      <c r="D14" s="425" t="s">
        <v>140</v>
      </c>
      <c r="E14" s="470" t="s">
        <v>260</v>
      </c>
      <c r="F14" s="471">
        <v>5336000</v>
      </c>
      <c r="G14" s="426"/>
      <c r="H14" s="426"/>
      <c r="I14" s="505" t="str">
        <f>+[13]ปส.!I14</f>
        <v>รอ ตร. อนุมัติให้ บช.ปส. เป็นหน่วยจัดหา</v>
      </c>
      <c r="J14" s="505"/>
      <c r="K14" s="505"/>
      <c r="L14" s="505"/>
      <c r="M14" s="505" t="str">
        <f>+[13]ปส.!M14</f>
        <v>ตร.มีบันทึกลง 6 พ.ย.58 สั่งการให้ สกบ.(สพ.) จัดหา</v>
      </c>
      <c r="N14" s="410">
        <v>2</v>
      </c>
      <c r="O14" s="400"/>
      <c r="P14" s="400"/>
      <c r="Q14" s="400"/>
      <c r="R14" s="400"/>
      <c r="S14" s="400"/>
    </row>
    <row r="15" spans="1:38" s="16" customFormat="1" ht="45" x14ac:dyDescent="0.2">
      <c r="A15" s="424">
        <v>5</v>
      </c>
      <c r="B15" s="424"/>
      <c r="C15" s="506" t="s">
        <v>139</v>
      </c>
      <c r="D15" s="425" t="s">
        <v>140</v>
      </c>
      <c r="E15" s="470" t="s">
        <v>261</v>
      </c>
      <c r="F15" s="471">
        <v>10000000</v>
      </c>
      <c r="G15" s="426"/>
      <c r="H15" s="426"/>
      <c r="I15" s="550" t="str">
        <f>+[13]ปส.!I15</f>
        <v>รอ ตร. อนุมัติให้ บช.ปส. เป็นหน่วยจัดหา</v>
      </c>
      <c r="J15" s="550"/>
      <c r="K15" s="550"/>
      <c r="L15" s="550"/>
      <c r="M15" s="550" t="str">
        <f>+[13]ปส.!M15</f>
        <v>ตร.มีบันทึกลง 6 พ.ย.58 สั่งการให้ สกบ.(สพ.) จัดหา</v>
      </c>
      <c r="N15" s="410">
        <v>2</v>
      </c>
      <c r="O15" s="400"/>
      <c r="P15" s="400"/>
      <c r="Q15" s="400"/>
      <c r="R15" s="400"/>
      <c r="S15" s="400"/>
    </row>
    <row r="16" spans="1:38" s="16" customFormat="1" ht="45" x14ac:dyDescent="0.2">
      <c r="A16" s="14">
        <v>6</v>
      </c>
      <c r="B16" s="14"/>
      <c r="C16" s="475" t="s">
        <v>139</v>
      </c>
      <c r="D16" s="261" t="s">
        <v>140</v>
      </c>
      <c r="E16" s="473" t="s">
        <v>262</v>
      </c>
      <c r="F16" s="474">
        <v>2000000</v>
      </c>
      <c r="G16" s="281"/>
      <c r="H16" s="281"/>
      <c r="I16" s="283" t="str">
        <f>+[13]ปส.!I16</f>
        <v>รอ ตร. อนุมัติให้ บช.ปส. เป็นหน่วยจัดหา</v>
      </c>
      <c r="J16" s="283"/>
      <c r="K16" s="283"/>
      <c r="L16" s="283"/>
      <c r="M16" s="283" t="str">
        <f>+[13]ปส.!M16</f>
        <v>ตร.มีบันทึกลง 6 พ.ย.58 สั่งการให้ สกบ.(สพ.) จัดหา</v>
      </c>
      <c r="N16" s="410">
        <v>1</v>
      </c>
      <c r="O16" s="400"/>
      <c r="P16" s="400"/>
      <c r="Q16" s="400"/>
      <c r="R16" s="400"/>
      <c r="S16" s="400"/>
    </row>
    <row r="17" spans="1:19" s="16" customFormat="1" ht="52.5" customHeight="1" x14ac:dyDescent="0.2">
      <c r="A17" s="424">
        <v>7</v>
      </c>
      <c r="B17" s="424"/>
      <c r="C17" s="506" t="s">
        <v>139</v>
      </c>
      <c r="D17" s="425" t="s">
        <v>140</v>
      </c>
      <c r="E17" s="470" t="s">
        <v>263</v>
      </c>
      <c r="F17" s="471">
        <v>3324000</v>
      </c>
      <c r="G17" s="426"/>
      <c r="H17" s="426"/>
      <c r="I17" s="550" t="str">
        <f>+[13]ปส.!I17</f>
        <v>รอ ตร. อนุมัติให้ บช.ปส. เป็นหน่วยจัดหา</v>
      </c>
      <c r="J17" s="550"/>
      <c r="K17" s="550"/>
      <c r="L17" s="550"/>
      <c r="M17" s="550" t="str">
        <f>+[13]ปส.!M17</f>
        <v>ตร.มีบันทึกลง 6 พ.ย.58 สั่งการให้ สกบ.(สพ.) จัดหา</v>
      </c>
      <c r="N17" s="410">
        <v>2</v>
      </c>
      <c r="O17" s="400"/>
      <c r="P17" s="400"/>
      <c r="Q17" s="400"/>
      <c r="R17" s="400"/>
      <c r="S17" s="400"/>
    </row>
    <row r="18" spans="1:19" s="16" customFormat="1" ht="48.75" customHeight="1" x14ac:dyDescent="0.2">
      <c r="A18" s="424">
        <v>8</v>
      </c>
      <c r="B18" s="424"/>
      <c r="C18" s="506" t="s">
        <v>139</v>
      </c>
      <c r="D18" s="425" t="s">
        <v>140</v>
      </c>
      <c r="E18" s="470" t="s">
        <v>264</v>
      </c>
      <c r="F18" s="471">
        <v>10516000</v>
      </c>
      <c r="G18" s="426"/>
      <c r="H18" s="426"/>
      <c r="I18" s="550" t="str">
        <f>+[13]ปส.!I18</f>
        <v>รอ ตร. อนุมัติให้ บช.ปส. เป็นหน่วยจัดหา</v>
      </c>
      <c r="J18" s="550"/>
      <c r="K18" s="550"/>
      <c r="L18" s="550"/>
      <c r="M18" s="550" t="str">
        <f>+[13]ปส.!M18</f>
        <v>ตร.มีบันทึกลง 6 พ.ย.58 สั่งการให้ สกบ.(สพ.) จัดหา</v>
      </c>
      <c r="N18" s="410">
        <v>2</v>
      </c>
      <c r="O18" s="400"/>
      <c r="P18" s="400"/>
      <c r="Q18" s="400"/>
      <c r="R18" s="400"/>
      <c r="S18" s="400"/>
    </row>
    <row r="19" spans="1:19" s="284" customFormat="1" ht="42" customHeight="1" x14ac:dyDescent="0.2">
      <c r="A19" s="261"/>
      <c r="B19" s="261"/>
      <c r="C19" s="475" t="s">
        <v>139</v>
      </c>
      <c r="D19" s="261" t="s">
        <v>140</v>
      </c>
      <c r="E19" s="473" t="s">
        <v>265</v>
      </c>
      <c r="F19" s="474"/>
      <c r="G19" s="281"/>
      <c r="H19" s="281"/>
      <c r="I19" s="283">
        <f>+[13]ปส.!I19</f>
        <v>0</v>
      </c>
      <c r="J19" s="283"/>
      <c r="K19" s="283"/>
      <c r="L19" s="283"/>
      <c r="M19" s="283">
        <f>+[13]ปส.!M19</f>
        <v>0</v>
      </c>
      <c r="N19" s="410"/>
      <c r="O19" s="401"/>
      <c r="P19" s="401"/>
      <c r="Q19" s="401"/>
      <c r="R19" s="401"/>
      <c r="S19" s="401"/>
    </row>
    <row r="20" spans="1:19" s="284" customFormat="1" ht="46.5" customHeight="1" x14ac:dyDescent="0.2">
      <c r="A20" s="425">
        <v>9</v>
      </c>
      <c r="B20" s="425"/>
      <c r="C20" s="506" t="s">
        <v>139</v>
      </c>
      <c r="D20" s="425" t="s">
        <v>140</v>
      </c>
      <c r="E20" s="470" t="s">
        <v>266</v>
      </c>
      <c r="F20" s="471">
        <v>3600000</v>
      </c>
      <c r="G20" s="426"/>
      <c r="H20" s="426"/>
      <c r="I20" s="550" t="str">
        <f>+[13]ปส.!I20</f>
        <v>รอ ตร. อนุมัติให้ บช.ปส. เป็นหน่วยจัดหา</v>
      </c>
      <c r="J20" s="550"/>
      <c r="K20" s="550"/>
      <c r="L20" s="550"/>
      <c r="M20" s="550" t="str">
        <f>+[13]ปส.!M20</f>
        <v>ตร.มีบันทึกลง 6 พ.ย.58 สั่งการให้ สกบ.(สพ.) จัดหา</v>
      </c>
      <c r="N20" s="410">
        <v>2</v>
      </c>
      <c r="O20" s="401"/>
      <c r="P20" s="401"/>
      <c r="Q20" s="401"/>
      <c r="R20" s="401"/>
      <c r="S20" s="401"/>
    </row>
    <row r="21" spans="1:19" s="284" customFormat="1" ht="49.5" customHeight="1" x14ac:dyDescent="0.2">
      <c r="A21" s="425">
        <v>10</v>
      </c>
      <c r="B21" s="425"/>
      <c r="C21" s="506" t="s">
        <v>139</v>
      </c>
      <c r="D21" s="425" t="s">
        <v>140</v>
      </c>
      <c r="E21" s="470" t="s">
        <v>267</v>
      </c>
      <c r="F21" s="471">
        <v>4320000</v>
      </c>
      <c r="G21" s="426"/>
      <c r="H21" s="426"/>
      <c r="I21" s="550" t="str">
        <f>+[13]ปส.!I21</f>
        <v>รอ ตร. อนุมัติให้ บช.ปส. เป็นหน่วยจัดหา</v>
      </c>
      <c r="J21" s="550"/>
      <c r="K21" s="550"/>
      <c r="L21" s="550"/>
      <c r="M21" s="550" t="str">
        <f>+[13]ปส.!M21</f>
        <v>ตร.มีบันทึกลง 6 พ.ย.58 สั่งการให้ สกบ.(สพ.) จัดหา</v>
      </c>
      <c r="N21" s="410">
        <v>2</v>
      </c>
      <c r="O21" s="401"/>
      <c r="P21" s="401"/>
      <c r="Q21" s="401"/>
      <c r="R21" s="401"/>
      <c r="S21" s="401"/>
    </row>
    <row r="22" spans="1:19" s="284" customFormat="1" ht="46.5" customHeight="1" x14ac:dyDescent="0.2">
      <c r="A22" s="425">
        <v>11</v>
      </c>
      <c r="B22" s="425"/>
      <c r="C22" s="506" t="s">
        <v>139</v>
      </c>
      <c r="D22" s="425" t="s">
        <v>140</v>
      </c>
      <c r="E22" s="470" t="s">
        <v>268</v>
      </c>
      <c r="F22" s="471">
        <v>4500000</v>
      </c>
      <c r="G22" s="426"/>
      <c r="H22" s="426"/>
      <c r="I22" s="550" t="str">
        <f>+[13]ปส.!I22</f>
        <v>รอ ตร. อนุมัติให้ บช.ปส. เป็นหน่วยจัดหา</v>
      </c>
      <c r="J22" s="550"/>
      <c r="K22" s="550"/>
      <c r="L22" s="550"/>
      <c r="M22" s="550" t="str">
        <f>+[13]ปส.!M22</f>
        <v>ตร.มีบันทึกลง 6 พ.ย.58 สั่งการให้ สกบ.(สพ.) จัดหา</v>
      </c>
      <c r="N22" s="410">
        <v>2</v>
      </c>
      <c r="O22" s="401"/>
      <c r="P22" s="401"/>
      <c r="Q22" s="401"/>
      <c r="R22" s="401"/>
      <c r="S22" s="401"/>
    </row>
    <row r="23" spans="1:19" s="284" customFormat="1" ht="48" customHeight="1" x14ac:dyDescent="0.2">
      <c r="A23" s="425">
        <v>12</v>
      </c>
      <c r="B23" s="425"/>
      <c r="C23" s="506" t="s">
        <v>139</v>
      </c>
      <c r="D23" s="425" t="s">
        <v>140</v>
      </c>
      <c r="E23" s="470" t="s">
        <v>269</v>
      </c>
      <c r="F23" s="471">
        <v>57000000</v>
      </c>
      <c r="G23" s="426"/>
      <c r="H23" s="426"/>
      <c r="I23" s="505" t="str">
        <f>+[13]ปส.!I23</f>
        <v>อยู่ระหว่าง ตร.ตรวจสอบ และพิจารณาเสนอ รอง นายกฯ อนุมัติซื้อ</v>
      </c>
      <c r="J23" s="505"/>
      <c r="K23" s="505"/>
      <c r="L23" s="505"/>
      <c r="M23" s="505" t="str">
        <f>+[13]ปส.!M23</f>
        <v>เรื่องอยู่ที่ สง.ผบ.ตร.ตรวจสอบและพิจารณาเสนอ รอง นรม.อนุมัติซื้อ</v>
      </c>
      <c r="N23" s="410">
        <v>2</v>
      </c>
      <c r="O23" s="401"/>
      <c r="P23" s="401"/>
      <c r="Q23" s="401"/>
      <c r="R23" s="401"/>
      <c r="S23" s="401"/>
    </row>
    <row r="24" spans="1:19" s="284" customFormat="1" ht="48" customHeight="1" x14ac:dyDescent="0.2">
      <c r="A24" s="560">
        <v>13</v>
      </c>
      <c r="B24" s="560"/>
      <c r="C24" s="561" t="s">
        <v>139</v>
      </c>
      <c r="D24" s="560" t="s">
        <v>140</v>
      </c>
      <c r="E24" s="562" t="s">
        <v>270</v>
      </c>
      <c r="F24" s="563">
        <v>556854900</v>
      </c>
      <c r="G24" s="564"/>
      <c r="H24" s="564"/>
      <c r="I24" s="565" t="str">
        <f>+[13]ปส.!I24</f>
        <v>อยู่ระหว่างการทบทวนการจัดซื้อ เสนอ ตร.</v>
      </c>
      <c r="J24" s="565"/>
      <c r="K24" s="565"/>
      <c r="L24" s="565"/>
      <c r="M24" s="565" t="str">
        <f>+[13]ปส.!M24</f>
        <v>อยู่ระหว่างเสนอ ผบช.ปส. อนุมัติ Spec เพื่อใช้ประกอบการจัดหา</v>
      </c>
      <c r="N24" s="410">
        <v>3</v>
      </c>
      <c r="O24" s="401"/>
      <c r="P24" s="401"/>
      <c r="Q24" s="401"/>
      <c r="R24" s="401"/>
      <c r="S24" s="401"/>
    </row>
    <row r="25" spans="1:19" s="284" customFormat="1" ht="69.75" customHeight="1" x14ac:dyDescent="0.2">
      <c r="A25" s="425">
        <v>14</v>
      </c>
      <c r="B25" s="425"/>
      <c r="C25" s="506" t="s">
        <v>139</v>
      </c>
      <c r="D25" s="425" t="s">
        <v>140</v>
      </c>
      <c r="E25" s="470" t="s">
        <v>271</v>
      </c>
      <c r="F25" s="471">
        <v>12000000</v>
      </c>
      <c r="G25" s="426"/>
      <c r="H25" s="426"/>
      <c r="I25" s="505" t="str">
        <f>+[13]ปส.!I25</f>
        <v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v>
      </c>
      <c r="J25" s="505"/>
      <c r="K25" s="505"/>
      <c r="L25" s="505"/>
      <c r="M25" s="505" t="str">
        <f>+[13]ปส.!M25</f>
        <v>ตร.มีบันทึกลง 6 พ.ย.58 สั่งการให้ สกบ.(สพ.) จัดหา</v>
      </c>
      <c r="N25" s="410">
        <v>2</v>
      </c>
      <c r="O25" s="401"/>
      <c r="P25" s="401"/>
      <c r="Q25" s="401"/>
      <c r="R25" s="401"/>
      <c r="S25" s="401"/>
    </row>
    <row r="26" spans="1:19" s="284" customFormat="1" ht="66.75" customHeight="1" x14ac:dyDescent="0.2">
      <c r="A26" s="425">
        <v>15</v>
      </c>
      <c r="B26" s="425"/>
      <c r="C26" s="506" t="s">
        <v>139</v>
      </c>
      <c r="D26" s="425" t="s">
        <v>140</v>
      </c>
      <c r="E26" s="470" t="s">
        <v>272</v>
      </c>
      <c r="F26" s="471">
        <v>10500000</v>
      </c>
      <c r="G26" s="426"/>
      <c r="H26" s="426"/>
      <c r="I26" s="505" t="str">
        <f>+[13]ปส.!I26</f>
        <v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v>
      </c>
      <c r="J26" s="505"/>
      <c r="K26" s="505"/>
      <c r="L26" s="505"/>
      <c r="M26" s="505" t="str">
        <f>+[13]ปส.!M26</f>
        <v>ตร.มีบันทึกลง 6 พ.ย.58 สั่งการให้ สกบ.(สพ.) จัดหา</v>
      </c>
      <c r="N26" s="410">
        <v>2</v>
      </c>
      <c r="O26" s="401"/>
      <c r="P26" s="401"/>
      <c r="Q26" s="401"/>
      <c r="R26" s="401"/>
      <c r="S26" s="401"/>
    </row>
    <row r="27" spans="1:19" s="16" customFormat="1" x14ac:dyDescent="0.2">
      <c r="A27" s="14"/>
      <c r="B27" s="476"/>
      <c r="C27" s="476"/>
      <c r="D27" s="476"/>
      <c r="E27" s="477"/>
      <c r="F27" s="478"/>
      <c r="G27" s="31"/>
      <c r="H27" s="31"/>
      <c r="I27" s="31"/>
      <c r="J27" s="31"/>
      <c r="K27" s="15"/>
      <c r="L27" s="15"/>
      <c r="M27" s="31"/>
      <c r="N27" s="407"/>
      <c r="O27" s="400"/>
      <c r="P27" s="400"/>
      <c r="Q27" s="400"/>
      <c r="R27" s="400"/>
      <c r="S27" s="400"/>
    </row>
    <row r="28" spans="1:19" s="16" customFormat="1" ht="22.5" thickBot="1" x14ac:dyDescent="0.55000000000000004">
      <c r="A28" s="232">
        <f>+A26</f>
        <v>15</v>
      </c>
      <c r="B28" s="232"/>
      <c r="C28" s="232"/>
      <c r="D28" s="232"/>
      <c r="E28" s="233" t="s">
        <v>58</v>
      </c>
      <c r="F28" s="297">
        <f>SUM(F11:F27)</f>
        <v>691350900</v>
      </c>
      <c r="G28" s="234">
        <f>SUM(G19:G27)</f>
        <v>0</v>
      </c>
      <c r="H28" s="234">
        <f>SUM(H19:H27)</f>
        <v>0</v>
      </c>
      <c r="I28" s="234"/>
      <c r="J28" s="31"/>
      <c r="K28" s="15"/>
      <c r="L28" s="15"/>
      <c r="M28" s="234"/>
      <c r="N28" s="407"/>
      <c r="O28" s="400"/>
      <c r="P28" s="400"/>
      <c r="Q28" s="400"/>
      <c r="R28" s="400"/>
      <c r="S28" s="400"/>
    </row>
    <row r="29" spans="1:19" s="16" customFormat="1" ht="22.5" hidden="1" thickBot="1" x14ac:dyDescent="0.25">
      <c r="A29" s="14"/>
      <c r="B29" s="14"/>
      <c r="C29" s="14"/>
      <c r="D29" s="14"/>
      <c r="E29" s="27" t="s">
        <v>59</v>
      </c>
      <c r="F29" s="304"/>
      <c r="G29" s="31"/>
      <c r="H29" s="31"/>
      <c r="I29" s="31"/>
      <c r="J29" s="31"/>
      <c r="K29" s="15"/>
      <c r="L29" s="15"/>
      <c r="M29" s="31"/>
      <c r="N29" s="407"/>
      <c r="O29" s="400"/>
      <c r="P29" s="400"/>
      <c r="Q29" s="400"/>
      <c r="R29" s="400"/>
      <c r="S29" s="400"/>
    </row>
    <row r="30" spans="1:19" s="284" customFormat="1" ht="22.5" hidden="1" thickBot="1" x14ac:dyDescent="0.25">
      <c r="A30" s="261"/>
      <c r="B30" s="261"/>
      <c r="C30" s="261"/>
      <c r="D30" s="261"/>
      <c r="E30" s="566"/>
      <c r="F30" s="474"/>
      <c r="G30" s="281"/>
      <c r="H30" s="281"/>
      <c r="I30" s="281"/>
      <c r="J30" s="281"/>
      <c r="K30" s="283"/>
      <c r="L30" s="283"/>
      <c r="M30" s="281"/>
      <c r="N30" s="410"/>
      <c r="O30" s="401"/>
      <c r="P30" s="401"/>
      <c r="Q30" s="401"/>
      <c r="R30" s="401"/>
      <c r="S30" s="401"/>
    </row>
    <row r="31" spans="1:19" s="284" customFormat="1" ht="22.5" hidden="1" thickBot="1" x14ac:dyDescent="0.25">
      <c r="A31" s="261"/>
      <c r="B31" s="261"/>
      <c r="C31" s="261"/>
      <c r="D31" s="261"/>
      <c r="E31" s="566"/>
      <c r="F31" s="474"/>
      <c r="G31" s="281"/>
      <c r="H31" s="281"/>
      <c r="I31" s="281"/>
      <c r="J31" s="281"/>
      <c r="K31" s="283"/>
      <c r="L31" s="283"/>
      <c r="M31" s="281"/>
      <c r="N31" s="410"/>
      <c r="O31" s="401"/>
      <c r="P31" s="401"/>
      <c r="Q31" s="401"/>
      <c r="R31" s="401"/>
      <c r="S31" s="401"/>
    </row>
    <row r="32" spans="1:19" s="284" customFormat="1" ht="22.5" hidden="1" thickBot="1" x14ac:dyDescent="0.25">
      <c r="A32" s="261"/>
      <c r="B32" s="261"/>
      <c r="C32" s="261"/>
      <c r="D32" s="261"/>
      <c r="E32" s="566"/>
      <c r="F32" s="474"/>
      <c r="G32" s="281"/>
      <c r="H32" s="281"/>
      <c r="I32" s="281"/>
      <c r="J32" s="281"/>
      <c r="K32" s="283"/>
      <c r="L32" s="283"/>
      <c r="M32" s="281"/>
      <c r="N32" s="410"/>
      <c r="O32" s="401"/>
      <c r="P32" s="401"/>
      <c r="Q32" s="401"/>
      <c r="R32" s="401"/>
      <c r="S32" s="401"/>
    </row>
    <row r="33" spans="1:19" s="284" customFormat="1" ht="22.5" hidden="1" thickBot="1" x14ac:dyDescent="0.25">
      <c r="A33" s="261"/>
      <c r="B33" s="261"/>
      <c r="C33" s="261"/>
      <c r="D33" s="261"/>
      <c r="E33" s="566"/>
      <c r="F33" s="474"/>
      <c r="G33" s="281"/>
      <c r="H33" s="281"/>
      <c r="I33" s="281"/>
      <c r="J33" s="281"/>
      <c r="K33" s="283"/>
      <c r="L33" s="283"/>
      <c r="M33" s="281"/>
      <c r="N33" s="410"/>
      <c r="O33" s="401"/>
      <c r="P33" s="401"/>
      <c r="Q33" s="401"/>
      <c r="R33" s="401"/>
      <c r="S33" s="401"/>
    </row>
    <row r="34" spans="1:19" s="284" customFormat="1" ht="22.5" hidden="1" thickBot="1" x14ac:dyDescent="0.25">
      <c r="A34" s="261"/>
      <c r="B34" s="261"/>
      <c r="C34" s="261"/>
      <c r="D34" s="261"/>
      <c r="E34" s="566"/>
      <c r="F34" s="474"/>
      <c r="G34" s="281"/>
      <c r="H34" s="281"/>
      <c r="I34" s="281"/>
      <c r="J34" s="281"/>
      <c r="K34" s="283"/>
      <c r="L34" s="283"/>
      <c r="M34" s="281"/>
      <c r="N34" s="410"/>
      <c r="O34" s="401"/>
      <c r="P34" s="401"/>
      <c r="Q34" s="401"/>
      <c r="R34" s="401"/>
      <c r="S34" s="401"/>
    </row>
    <row r="35" spans="1:19" s="284" customFormat="1" ht="22.5" hidden="1" thickBot="1" x14ac:dyDescent="0.25">
      <c r="A35" s="261"/>
      <c r="B35" s="261"/>
      <c r="C35" s="261"/>
      <c r="D35" s="261"/>
      <c r="E35" s="566"/>
      <c r="F35" s="474"/>
      <c r="G35" s="281"/>
      <c r="H35" s="281"/>
      <c r="I35" s="281"/>
      <c r="J35" s="281"/>
      <c r="K35" s="283"/>
      <c r="L35" s="283"/>
      <c r="M35" s="281"/>
      <c r="N35" s="410"/>
      <c r="O35" s="401"/>
      <c r="P35" s="401"/>
      <c r="Q35" s="401"/>
      <c r="R35" s="401"/>
      <c r="S35" s="401"/>
    </row>
    <row r="36" spans="1:19" s="16" customFormat="1" ht="22.5" hidden="1" thickBot="1" x14ac:dyDescent="0.25">
      <c r="A36" s="14"/>
      <c r="B36" s="14"/>
      <c r="C36" s="14"/>
      <c r="D36" s="14"/>
      <c r="E36" s="320"/>
      <c r="F36" s="304"/>
      <c r="G36" s="31"/>
      <c r="H36" s="31"/>
      <c r="I36" s="31"/>
      <c r="J36" s="31"/>
      <c r="K36" s="15"/>
      <c r="L36" s="15"/>
      <c r="M36" s="31"/>
      <c r="N36" s="407"/>
      <c r="O36" s="400"/>
      <c r="P36" s="400"/>
      <c r="Q36" s="400"/>
      <c r="R36" s="400"/>
      <c r="S36" s="400"/>
    </row>
    <row r="37" spans="1:19" s="16" customFormat="1" ht="22.5" hidden="1" thickBot="1" x14ac:dyDescent="0.25">
      <c r="A37" s="14"/>
      <c r="B37" s="14"/>
      <c r="C37" s="14"/>
      <c r="D37" s="14"/>
      <c r="E37" s="320"/>
      <c r="F37" s="304"/>
      <c r="G37" s="31"/>
      <c r="H37" s="31"/>
      <c r="I37" s="31"/>
      <c r="J37" s="31"/>
      <c r="K37" s="15"/>
      <c r="L37" s="15"/>
      <c r="M37" s="31"/>
      <c r="N37" s="407"/>
      <c r="O37" s="400"/>
      <c r="P37" s="400"/>
      <c r="Q37" s="400"/>
      <c r="R37" s="400"/>
      <c r="S37" s="400"/>
    </row>
    <row r="38" spans="1:19" s="16" customFormat="1" ht="22.5" hidden="1" thickBot="1" x14ac:dyDescent="0.25">
      <c r="A38" s="14"/>
      <c r="B38" s="14"/>
      <c r="C38" s="14"/>
      <c r="D38" s="14"/>
      <c r="E38" s="320"/>
      <c r="F38" s="304"/>
      <c r="G38" s="31"/>
      <c r="H38" s="31"/>
      <c r="I38" s="31"/>
      <c r="J38" s="31"/>
      <c r="K38" s="15"/>
      <c r="L38" s="15"/>
      <c r="M38" s="31"/>
      <c r="N38" s="407"/>
      <c r="O38" s="400"/>
      <c r="P38" s="400"/>
      <c r="Q38" s="400"/>
      <c r="R38" s="400"/>
      <c r="S38" s="400"/>
    </row>
    <row r="39" spans="1:19" s="16" customFormat="1" ht="22.5" hidden="1" thickBot="1" x14ac:dyDescent="0.25">
      <c r="A39" s="14"/>
      <c r="B39" s="14"/>
      <c r="C39" s="14"/>
      <c r="D39" s="14"/>
      <c r="E39" s="320"/>
      <c r="F39" s="304"/>
      <c r="G39" s="31"/>
      <c r="H39" s="31"/>
      <c r="I39" s="31"/>
      <c r="J39" s="31"/>
      <c r="K39" s="15"/>
      <c r="L39" s="15"/>
      <c r="M39" s="31"/>
      <c r="N39" s="407"/>
      <c r="O39" s="400"/>
      <c r="P39" s="400"/>
      <c r="Q39" s="400"/>
      <c r="R39" s="400"/>
      <c r="S39" s="400"/>
    </row>
    <row r="40" spans="1:19" s="16" customFormat="1" ht="22.5" hidden="1" thickBot="1" x14ac:dyDescent="0.25">
      <c r="A40" s="14"/>
      <c r="B40" s="14"/>
      <c r="C40" s="14"/>
      <c r="D40" s="14"/>
      <c r="E40" s="320"/>
      <c r="F40" s="304"/>
      <c r="G40" s="31"/>
      <c r="H40" s="31"/>
      <c r="I40" s="31"/>
      <c r="J40" s="31"/>
      <c r="K40" s="15"/>
      <c r="L40" s="15"/>
      <c r="M40" s="31"/>
      <c r="N40" s="407"/>
      <c r="O40" s="400"/>
      <c r="P40" s="400"/>
      <c r="Q40" s="400"/>
      <c r="R40" s="400"/>
      <c r="S40" s="400"/>
    </row>
    <row r="41" spans="1:19" s="16" customFormat="1" ht="22.5" hidden="1" thickBot="1" x14ac:dyDescent="0.25">
      <c r="A41" s="14"/>
      <c r="B41" s="14"/>
      <c r="C41" s="14"/>
      <c r="D41" s="14"/>
      <c r="E41" s="320"/>
      <c r="F41" s="304"/>
      <c r="G41" s="31"/>
      <c r="H41" s="31"/>
      <c r="I41" s="31"/>
      <c r="J41" s="31"/>
      <c r="K41" s="15"/>
      <c r="L41" s="15"/>
      <c r="M41" s="31"/>
      <c r="N41" s="407"/>
      <c r="O41" s="400"/>
      <c r="P41" s="400"/>
      <c r="Q41" s="400"/>
      <c r="R41" s="400"/>
      <c r="S41" s="400"/>
    </row>
    <row r="42" spans="1:19" s="16" customFormat="1" ht="25.5" hidden="1" customHeight="1" x14ac:dyDescent="0.2">
      <c r="A42" s="14"/>
      <c r="B42" s="14"/>
      <c r="C42" s="14"/>
      <c r="D42" s="14"/>
      <c r="E42" s="477"/>
      <c r="F42" s="496"/>
      <c r="G42" s="31"/>
      <c r="H42" s="31"/>
      <c r="I42" s="31"/>
      <c r="J42" s="31"/>
      <c r="K42" s="15"/>
      <c r="L42" s="15"/>
      <c r="M42" s="31"/>
      <c r="N42" s="407"/>
      <c r="O42" s="400"/>
      <c r="P42" s="400"/>
      <c r="Q42" s="400"/>
      <c r="R42" s="400"/>
      <c r="S42" s="400"/>
    </row>
    <row r="43" spans="1:19" s="16" customFormat="1" ht="22.5" hidden="1" thickBot="1" x14ac:dyDescent="0.55000000000000004">
      <c r="A43" s="235">
        <f>+A41</f>
        <v>0</v>
      </c>
      <c r="B43" s="235"/>
      <c r="C43" s="235"/>
      <c r="D43" s="235"/>
      <c r="E43" s="236" t="s">
        <v>60</v>
      </c>
      <c r="F43" s="298">
        <f>SUM(F42:F42)</f>
        <v>0</v>
      </c>
      <c r="G43" s="237">
        <f>SUM(G42:G42)</f>
        <v>0</v>
      </c>
      <c r="H43" s="237">
        <f>SUM(H42:H42)</f>
        <v>0</v>
      </c>
      <c r="I43" s="237"/>
      <c r="J43" s="31"/>
      <c r="K43" s="15"/>
      <c r="L43" s="15"/>
      <c r="M43" s="237"/>
      <c r="N43" s="407"/>
      <c r="O43" s="400"/>
      <c r="P43" s="400"/>
      <c r="Q43" s="400"/>
      <c r="R43" s="400"/>
      <c r="S43" s="400"/>
    </row>
    <row r="44" spans="1:19" s="16" customFormat="1" ht="22.5" thickBot="1" x14ac:dyDescent="0.55000000000000004">
      <c r="A44" s="238">
        <f>+A28+A43</f>
        <v>15</v>
      </c>
      <c r="B44" s="239"/>
      <c r="C44" s="239"/>
      <c r="D44" s="239"/>
      <c r="E44" s="239" t="s">
        <v>273</v>
      </c>
      <c r="F44" s="299">
        <f>F28+F43</f>
        <v>691350900</v>
      </c>
      <c r="G44" s="240">
        <f>+G28+G43</f>
        <v>0</v>
      </c>
      <c r="H44" s="240">
        <f>+H28+H43</f>
        <v>0</v>
      </c>
      <c r="I44" s="240"/>
      <c r="J44" s="31"/>
      <c r="K44" s="15"/>
      <c r="L44" s="15"/>
      <c r="M44" s="240"/>
      <c r="N44" s="407"/>
      <c r="O44" s="400"/>
      <c r="P44" s="400"/>
      <c r="Q44" s="400"/>
      <c r="R44" s="400"/>
      <c r="S44" s="400"/>
    </row>
    <row r="45" spans="1:19" s="16" customFormat="1" x14ac:dyDescent="0.2">
      <c r="A45" s="481"/>
      <c r="B45" s="481"/>
      <c r="C45" s="481"/>
      <c r="D45" s="481"/>
      <c r="E45" s="482"/>
      <c r="F45" s="558"/>
      <c r="G45" s="375"/>
      <c r="H45" s="375"/>
      <c r="I45" s="375"/>
      <c r="J45" s="31"/>
      <c r="K45" s="15"/>
      <c r="L45" s="15"/>
      <c r="M45" s="375"/>
      <c r="N45" s="407"/>
      <c r="O45" s="400"/>
      <c r="P45" s="400"/>
      <c r="Q45" s="400"/>
      <c r="R45" s="400"/>
      <c r="S45" s="400"/>
    </row>
    <row r="46" spans="1:19" s="16" customFormat="1" x14ac:dyDescent="0.5">
      <c r="A46" s="481"/>
      <c r="B46" s="481"/>
      <c r="C46" s="481"/>
      <c r="D46" s="481"/>
      <c r="E46" s="482"/>
      <c r="F46" s="32"/>
      <c r="G46" s="375"/>
      <c r="H46" s="375"/>
      <c r="I46" s="375"/>
      <c r="J46" s="31"/>
      <c r="K46" s="15"/>
      <c r="L46" s="15"/>
      <c r="M46" s="375"/>
      <c r="N46" s="407"/>
      <c r="O46" s="400"/>
      <c r="P46" s="400"/>
      <c r="Q46" s="400"/>
      <c r="R46" s="400"/>
      <c r="S46" s="400"/>
    </row>
    <row r="47" spans="1:19" s="16" customFormat="1" x14ac:dyDescent="0.5">
      <c r="A47" s="486"/>
      <c r="B47" s="486"/>
      <c r="C47" s="486"/>
      <c r="D47" s="486"/>
      <c r="E47" s="460"/>
      <c r="F47" s="559"/>
      <c r="G47" s="488"/>
      <c r="H47" s="488"/>
      <c r="I47" s="488"/>
      <c r="J47" s="31"/>
      <c r="K47" s="15"/>
      <c r="L47" s="15"/>
      <c r="M47" s="488"/>
      <c r="N47" s="407"/>
      <c r="O47" s="400"/>
      <c r="P47" s="400"/>
      <c r="Q47" s="400"/>
      <c r="R47" s="400"/>
      <c r="S47" s="400"/>
    </row>
    <row r="48" spans="1:19" s="16" customFormat="1" x14ac:dyDescent="0.5">
      <c r="A48" s="483"/>
      <c r="B48" s="483"/>
      <c r="C48" s="483"/>
      <c r="D48" s="483"/>
      <c r="E48" s="77"/>
      <c r="F48" s="270"/>
      <c r="G48" s="119"/>
      <c r="H48" s="119"/>
      <c r="I48" s="119"/>
      <c r="J48" s="31"/>
      <c r="K48" s="15"/>
      <c r="L48" s="15"/>
      <c r="M48" s="119"/>
      <c r="N48" s="407"/>
      <c r="O48" s="400"/>
      <c r="P48" s="400"/>
      <c r="Q48" s="400"/>
      <c r="R48" s="400"/>
      <c r="S48" s="400"/>
    </row>
    <row r="49" spans="1:46" s="16" customFormat="1" x14ac:dyDescent="0.5">
      <c r="A49" s="483"/>
      <c r="B49" s="483"/>
      <c r="C49" s="483"/>
      <c r="D49" s="483"/>
      <c r="E49" s="77"/>
      <c r="F49" s="270"/>
      <c r="G49" s="119"/>
      <c r="H49" s="119"/>
      <c r="I49" s="119"/>
      <c r="J49" s="31"/>
      <c r="K49" s="15"/>
      <c r="L49" s="15"/>
      <c r="M49" s="119"/>
      <c r="N49" s="407"/>
      <c r="O49" s="400"/>
      <c r="P49" s="400"/>
      <c r="Q49" s="400"/>
      <c r="R49" s="400"/>
      <c r="S49" s="400"/>
    </row>
    <row r="50" spans="1:46" s="16" customFormat="1" x14ac:dyDescent="0.5">
      <c r="A50" s="483"/>
      <c r="B50" s="483"/>
      <c r="C50" s="483"/>
      <c r="D50" s="483"/>
      <c r="E50" s="77"/>
      <c r="F50" s="270"/>
      <c r="G50" s="119"/>
      <c r="H50" s="119"/>
      <c r="I50" s="119"/>
      <c r="J50" s="31"/>
      <c r="K50" s="15"/>
      <c r="L50" s="15"/>
      <c r="M50" s="119"/>
      <c r="N50" s="407"/>
      <c r="O50" s="400"/>
      <c r="P50" s="400"/>
      <c r="Q50" s="400"/>
      <c r="R50" s="400"/>
      <c r="S50" s="400"/>
    </row>
    <row r="51" spans="1:46" s="16" customFormat="1" x14ac:dyDescent="0.5">
      <c r="A51" s="483"/>
      <c r="B51" s="483"/>
      <c r="C51" s="483"/>
      <c r="D51" s="483"/>
      <c r="E51" s="77"/>
      <c r="F51" s="270"/>
      <c r="G51" s="119"/>
      <c r="H51" s="119"/>
      <c r="I51" s="119"/>
      <c r="J51" s="31"/>
      <c r="K51" s="15"/>
      <c r="L51" s="15"/>
      <c r="M51" s="119"/>
      <c r="N51" s="407"/>
      <c r="O51" s="400"/>
      <c r="P51" s="400"/>
      <c r="Q51" s="400"/>
      <c r="R51" s="400"/>
      <c r="S51" s="400"/>
    </row>
    <row r="52" spans="1:46" s="16" customFormat="1" x14ac:dyDescent="0.5">
      <c r="A52" s="486"/>
      <c r="B52" s="486"/>
      <c r="C52" s="486"/>
      <c r="D52" s="486"/>
      <c r="E52" s="460"/>
      <c r="F52" s="559"/>
      <c r="G52" s="488"/>
      <c r="H52" s="488"/>
      <c r="I52" s="488"/>
      <c r="J52" s="31"/>
      <c r="K52" s="15"/>
      <c r="L52" s="15"/>
      <c r="M52" s="488"/>
      <c r="N52" s="407"/>
      <c r="O52" s="400"/>
      <c r="P52" s="400"/>
      <c r="Q52" s="400"/>
      <c r="R52" s="400"/>
      <c r="S52" s="400"/>
    </row>
    <row r="53" spans="1:46" s="16" customFormat="1" x14ac:dyDescent="0.5">
      <c r="A53" s="486"/>
      <c r="B53" s="486"/>
      <c r="C53" s="486"/>
      <c r="D53" s="486"/>
      <c r="E53" s="460"/>
      <c r="F53" s="559"/>
      <c r="G53" s="488"/>
      <c r="H53" s="488"/>
      <c r="I53" s="488"/>
      <c r="J53" s="31"/>
      <c r="K53" s="15"/>
      <c r="L53" s="15"/>
      <c r="M53" s="488"/>
      <c r="N53" s="407"/>
      <c r="O53" s="400"/>
      <c r="P53" s="400"/>
      <c r="Q53" s="400"/>
      <c r="R53" s="400"/>
      <c r="S53" s="400"/>
    </row>
    <row r="54" spans="1:46" s="12" customFormat="1" x14ac:dyDescent="0.5">
      <c r="A54" s="486"/>
      <c r="B54" s="486"/>
      <c r="C54" s="486"/>
      <c r="D54" s="486"/>
      <c r="E54" s="460"/>
      <c r="F54" s="559"/>
      <c r="G54" s="488"/>
      <c r="H54" s="488"/>
      <c r="I54" s="488"/>
      <c r="J54" s="234">
        <f>SUM(J19:J53)</f>
        <v>0</v>
      </c>
      <c r="K54" s="234">
        <f>SUM(K19:K53)</f>
        <v>0</v>
      </c>
      <c r="L54" s="234">
        <f>SUM(L19:L53)</f>
        <v>0</v>
      </c>
      <c r="M54" s="488"/>
      <c r="N54" s="406"/>
      <c r="O54" s="397">
        <f>+F28+G28</f>
        <v>691350900</v>
      </c>
      <c r="P54" s="398"/>
      <c r="Q54" s="398"/>
      <c r="R54" s="399"/>
      <c r="S54" s="399"/>
    </row>
    <row r="55" spans="1:46" s="16" customFormat="1" x14ac:dyDescent="0.5">
      <c r="A55" s="486"/>
      <c r="B55" s="486"/>
      <c r="C55" s="486"/>
      <c r="D55" s="486"/>
      <c r="E55" s="460"/>
      <c r="F55" s="559"/>
      <c r="G55" s="488"/>
      <c r="H55" s="488"/>
      <c r="I55" s="488"/>
      <c r="J55" s="31"/>
      <c r="K55" s="15"/>
      <c r="L55" s="15"/>
      <c r="M55" s="488"/>
      <c r="N55" s="407"/>
      <c r="O55" s="400"/>
      <c r="P55" s="400"/>
      <c r="Q55" s="400"/>
      <c r="R55" s="400"/>
      <c r="S55" s="400"/>
    </row>
    <row r="56" spans="1:46" s="16" customFormat="1" x14ac:dyDescent="0.5">
      <c r="A56" s="486"/>
      <c r="B56" s="486"/>
      <c r="C56" s="486"/>
      <c r="D56" s="486"/>
      <c r="E56" s="460"/>
      <c r="F56" s="559"/>
      <c r="G56" s="488"/>
      <c r="H56" s="488"/>
      <c r="I56" s="488"/>
      <c r="J56" s="31"/>
      <c r="K56" s="15"/>
      <c r="L56" s="15"/>
      <c r="M56" s="488"/>
      <c r="N56" s="407"/>
      <c r="O56" s="400"/>
      <c r="P56" s="400"/>
      <c r="Q56" s="400"/>
      <c r="R56" s="400"/>
      <c r="S56" s="400"/>
    </row>
    <row r="57" spans="1:46" s="16" customFormat="1" x14ac:dyDescent="0.5">
      <c r="A57" s="486"/>
      <c r="B57" s="486"/>
      <c r="C57" s="486"/>
      <c r="D57" s="486"/>
      <c r="E57" s="460"/>
      <c r="F57" s="559"/>
      <c r="G57" s="488"/>
      <c r="H57" s="488"/>
      <c r="I57" s="488"/>
      <c r="J57" s="31"/>
      <c r="K57" s="15"/>
      <c r="L57" s="15"/>
      <c r="M57" s="488"/>
      <c r="N57" s="407"/>
      <c r="O57" s="400"/>
      <c r="P57" s="400"/>
      <c r="Q57" s="400"/>
      <c r="R57" s="400"/>
      <c r="S57" s="400"/>
    </row>
    <row r="58" spans="1:46" s="16" customFormat="1" ht="22.5" thickBot="1" x14ac:dyDescent="0.55000000000000004">
      <c r="A58" s="486"/>
      <c r="B58" s="486"/>
      <c r="C58" s="486"/>
      <c r="D58" s="486"/>
      <c r="E58" s="460"/>
      <c r="F58" s="559"/>
      <c r="G58" s="488"/>
      <c r="H58" s="488"/>
      <c r="I58" s="488"/>
      <c r="J58" s="237">
        <f>SUM(J56:J57)</f>
        <v>0</v>
      </c>
      <c r="K58" s="237">
        <f>SUM(K56:K57)</f>
        <v>0</v>
      </c>
      <c r="L58" s="237">
        <f>SUM(L56:L57)</f>
        <v>0</v>
      </c>
      <c r="M58" s="488"/>
      <c r="N58" s="405"/>
      <c r="O58" s="402">
        <f>+F43+G43</f>
        <v>0</v>
      </c>
      <c r="P58" s="398"/>
      <c r="Q58" s="398"/>
      <c r="R58" s="400"/>
      <c r="S58" s="400"/>
    </row>
    <row r="59" spans="1:46" s="480" customFormat="1" ht="22.5" thickBot="1" x14ac:dyDescent="0.55000000000000004">
      <c r="A59" s="486"/>
      <c r="B59" s="486"/>
      <c r="C59" s="486"/>
      <c r="D59" s="486"/>
      <c r="E59" s="460"/>
      <c r="F59" s="559"/>
      <c r="G59" s="488"/>
      <c r="H59" s="488"/>
      <c r="I59" s="488"/>
      <c r="J59" s="240">
        <f>J54+J58</f>
        <v>0</v>
      </c>
      <c r="K59" s="240">
        <f>K54+K58</f>
        <v>0</v>
      </c>
      <c r="L59" s="240">
        <f>L54+L58</f>
        <v>0</v>
      </c>
      <c r="M59" s="488"/>
      <c r="N59" s="408"/>
      <c r="O59" s="397">
        <f>+O54+O58</f>
        <v>691350900</v>
      </c>
      <c r="P59" s="479"/>
      <c r="Q59" s="479"/>
      <c r="R59" s="399"/>
      <c r="S59" s="399"/>
      <c r="T59" s="12"/>
      <c r="U59" s="12"/>
      <c r="V59" s="12"/>
      <c r="W59" s="12"/>
      <c r="X59" s="12"/>
      <c r="Y59" s="12"/>
      <c r="Z59" s="12"/>
      <c r="AA59" s="12"/>
    </row>
    <row r="60" spans="1:46" s="16" customFormat="1" x14ac:dyDescent="0.5">
      <c r="A60" s="486"/>
      <c r="B60" s="486"/>
      <c r="C60" s="486"/>
      <c r="D60" s="486"/>
      <c r="E60" s="460"/>
      <c r="F60" s="559"/>
      <c r="G60" s="488"/>
      <c r="H60" s="488"/>
      <c r="I60" s="488"/>
      <c r="J60" s="375"/>
      <c r="K60" s="376"/>
      <c r="L60" s="376"/>
      <c r="M60" s="488"/>
      <c r="N60" s="407"/>
      <c r="O60" s="400"/>
      <c r="P60" s="400"/>
      <c r="Q60" s="400"/>
      <c r="R60" s="400"/>
      <c r="S60" s="400"/>
    </row>
    <row r="61" spans="1:46" s="16" customFormat="1" x14ac:dyDescent="0.5">
      <c r="A61" s="486"/>
      <c r="B61" s="486"/>
      <c r="C61" s="486"/>
      <c r="D61" s="486"/>
      <c r="E61" s="460"/>
      <c r="F61" s="559"/>
      <c r="G61" s="488"/>
      <c r="H61" s="488"/>
      <c r="I61" s="488"/>
      <c r="J61" s="375"/>
      <c r="K61" s="376"/>
      <c r="L61" s="376"/>
      <c r="M61" s="488"/>
      <c r="N61" s="407"/>
      <c r="O61" s="400"/>
      <c r="P61" s="400"/>
      <c r="Q61" s="400"/>
      <c r="R61" s="400"/>
      <c r="S61" s="400"/>
    </row>
    <row r="63" spans="1:46" s="77" customFormat="1" x14ac:dyDescent="0.5">
      <c r="A63" s="486"/>
      <c r="B63" s="486"/>
      <c r="C63" s="486"/>
      <c r="D63" s="486"/>
      <c r="E63" s="460"/>
      <c r="F63" s="559"/>
      <c r="G63" s="488"/>
      <c r="H63" s="488"/>
      <c r="I63" s="488"/>
      <c r="J63" s="119"/>
      <c r="K63" s="484"/>
      <c r="L63" s="484"/>
      <c r="M63" s="488"/>
      <c r="N63" s="465"/>
      <c r="O63" s="399"/>
      <c r="P63" s="399"/>
      <c r="Q63" s="399"/>
      <c r="R63" s="399"/>
      <c r="S63" s="399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485"/>
    </row>
    <row r="64" spans="1:46" s="77" customFormat="1" x14ac:dyDescent="0.5">
      <c r="A64" s="486"/>
      <c r="B64" s="486"/>
      <c r="C64" s="486"/>
      <c r="D64" s="486"/>
      <c r="E64" s="460"/>
      <c r="F64" s="559"/>
      <c r="G64" s="488"/>
      <c r="H64" s="488"/>
      <c r="I64" s="488"/>
      <c r="J64" s="119"/>
      <c r="K64" s="484"/>
      <c r="L64" s="484"/>
      <c r="M64" s="488"/>
      <c r="N64" s="465"/>
      <c r="O64" s="399"/>
      <c r="P64" s="399"/>
      <c r="Q64" s="399"/>
      <c r="R64" s="399"/>
      <c r="S64" s="399"/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  <c r="AR64" s="485"/>
      <c r="AS64" s="485"/>
      <c r="AT64" s="485"/>
    </row>
    <row r="65" spans="1:46" s="77" customFormat="1" x14ac:dyDescent="0.5">
      <c r="A65" s="486"/>
      <c r="B65" s="486"/>
      <c r="C65" s="486"/>
      <c r="D65" s="486"/>
      <c r="E65" s="460"/>
      <c r="F65" s="559"/>
      <c r="G65" s="488"/>
      <c r="H65" s="488"/>
      <c r="I65" s="488"/>
      <c r="J65" s="119"/>
      <c r="K65" s="484"/>
      <c r="L65" s="484"/>
      <c r="M65" s="488"/>
      <c r="N65" s="465"/>
      <c r="O65" s="399"/>
      <c r="P65" s="399"/>
      <c r="Q65" s="399"/>
      <c r="R65" s="399"/>
      <c r="S65" s="399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5"/>
      <c r="AQ65" s="485"/>
      <c r="AR65" s="485"/>
      <c r="AS65" s="485"/>
      <c r="AT65" s="485"/>
    </row>
    <row r="66" spans="1:46" s="77" customFormat="1" x14ac:dyDescent="0.5">
      <c r="A66" s="486"/>
      <c r="B66" s="486"/>
      <c r="C66" s="486"/>
      <c r="D66" s="486"/>
      <c r="E66" s="460"/>
      <c r="F66" s="559"/>
      <c r="G66" s="488"/>
      <c r="H66" s="488"/>
      <c r="I66" s="488"/>
      <c r="J66" s="119"/>
      <c r="K66" s="484"/>
      <c r="L66" s="484"/>
      <c r="M66" s="488"/>
      <c r="N66" s="465"/>
      <c r="O66" s="399"/>
      <c r="P66" s="399"/>
      <c r="Q66" s="399"/>
      <c r="R66" s="399"/>
      <c r="S66" s="399"/>
      <c r="T66" s="485"/>
      <c r="U66" s="485"/>
      <c r="V66" s="485"/>
      <c r="W66" s="485"/>
      <c r="X66" s="485"/>
      <c r="Y66" s="485"/>
      <c r="Z66" s="485"/>
      <c r="AA66" s="485"/>
      <c r="AB66" s="485"/>
      <c r="AC66" s="485"/>
      <c r="AD66" s="485"/>
      <c r="AE66" s="485"/>
      <c r="AF66" s="485"/>
      <c r="AG66" s="485"/>
      <c r="AH66" s="485"/>
      <c r="AI66" s="485"/>
      <c r="AJ66" s="485"/>
      <c r="AK66" s="485"/>
      <c r="AL66" s="485"/>
      <c r="AM66" s="485"/>
      <c r="AN66" s="485"/>
      <c r="AO66" s="485"/>
      <c r="AP66" s="485"/>
      <c r="AQ66" s="485"/>
      <c r="AR66" s="485"/>
      <c r="AS66" s="485"/>
      <c r="AT66" s="485"/>
    </row>
  </sheetData>
  <autoFilter ref="N1:N66"/>
  <mergeCells count="20">
    <mergeCell ref="B5:B8"/>
    <mergeCell ref="D5:D8"/>
    <mergeCell ref="E5:E8"/>
    <mergeCell ref="I5:I8"/>
    <mergeCell ref="A1:M1"/>
    <mergeCell ref="A2:M2"/>
    <mergeCell ref="A3:M3"/>
    <mergeCell ref="A5:A8"/>
    <mergeCell ref="Q5:Q8"/>
    <mergeCell ref="C5:C8"/>
    <mergeCell ref="F4:G4"/>
    <mergeCell ref="F6:F8"/>
    <mergeCell ref="G6:G8"/>
    <mergeCell ref="P5:P8"/>
    <mergeCell ref="J5:J8"/>
    <mergeCell ref="F5:H5"/>
    <mergeCell ref="H6:H8"/>
    <mergeCell ref="M5:M8"/>
    <mergeCell ref="K5:K8"/>
    <mergeCell ref="L5:L8"/>
  </mergeCells>
  <phoneticPr fontId="5" type="noConversion"/>
  <conditionalFormatting sqref="F20:F26">
    <cfRule type="cellIs" dxfId="78" priority="13" stopIfTrue="1" operator="between">
      <formula>2000001</formula>
      <formula>500000000</formula>
    </cfRule>
  </conditionalFormatting>
  <conditionalFormatting sqref="F11">
    <cfRule type="cellIs" dxfId="77" priority="12" stopIfTrue="1" operator="between">
      <formula>2000001</formula>
      <formula>500000000</formula>
    </cfRule>
  </conditionalFormatting>
  <conditionalFormatting sqref="F12">
    <cfRule type="cellIs" dxfId="76" priority="9" stopIfTrue="1" operator="between">
      <formula>2000001</formula>
      <formula>500000000</formula>
    </cfRule>
  </conditionalFormatting>
  <conditionalFormatting sqref="F13">
    <cfRule type="cellIs" dxfId="75" priority="8" stopIfTrue="1" operator="between">
      <formula>2000001</formula>
      <formula>500000000</formula>
    </cfRule>
  </conditionalFormatting>
  <conditionalFormatting sqref="F14">
    <cfRule type="cellIs" dxfId="74" priority="7" stopIfTrue="1" operator="between">
      <formula>2000001</formula>
      <formula>500000000</formula>
    </cfRule>
  </conditionalFormatting>
  <conditionalFormatting sqref="F15:F17">
    <cfRule type="cellIs" dxfId="73" priority="6" stopIfTrue="1" operator="between">
      <formula>2000001</formula>
      <formula>500000000</formula>
    </cfRule>
  </conditionalFormatting>
  <conditionalFormatting sqref="F18">
    <cfRule type="cellIs" dxfId="72" priority="5" stopIfTrue="1" operator="between">
      <formula>2000001</formula>
      <formula>500000000</formula>
    </cfRule>
  </conditionalFormatting>
  <conditionalFormatting sqref="F11:F26">
    <cfRule type="cellIs" dxfId="71" priority="2" stopIfTrue="1" operator="greaterThan">
      <formula>500000001</formula>
    </cfRule>
    <cfRule type="cellIs" dxfId="70" priority="3" stopIfTrue="1" operator="greaterThan">
      <formula>500000001</formula>
    </cfRule>
  </conditionalFormatting>
  <conditionalFormatting sqref="F24">
    <cfRule type="cellIs" dxfId="69" priority="1" stopIfTrue="1" operator="greaterThan">
      <formula>500000001</formula>
    </cfRule>
  </conditionalFormatting>
  <pageMargins left="0.55118110236220474" right="0.55118110236220474" top="0.78740157480314965" bottom="0.55118110236220474" header="0.19685039370078741" footer="0.15748031496062992"/>
  <pageSetup paperSize="9" scale="80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0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5703125" style="486" customWidth="1"/>
    <col min="4" max="4" width="6.42578125" style="486" customWidth="1"/>
    <col min="5" max="5" width="43" style="460" customWidth="1"/>
    <col min="6" max="6" width="14.5703125" style="559" customWidth="1"/>
    <col min="7" max="7" width="15.42578125" style="488" customWidth="1"/>
    <col min="8" max="8" width="15.42578125" style="488" hidden="1" customWidth="1"/>
    <col min="9" max="9" width="33.28515625" style="488" customWidth="1"/>
    <col min="10" max="10" width="13.140625" style="488" hidden="1" customWidth="1"/>
    <col min="11" max="11" width="12.140625" style="464" hidden="1" customWidth="1"/>
    <col min="12" max="12" width="4.5703125" style="464" hidden="1" customWidth="1"/>
    <col min="13" max="13" width="36.7109375" style="488" customWidth="1"/>
    <col min="14" max="14" width="4.140625" style="465" customWidth="1"/>
    <col min="15" max="15" width="19.5703125" style="399" bestFit="1" customWidth="1"/>
    <col min="16" max="16" width="9.140625" style="399"/>
    <col min="17" max="17" width="14.5703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7</v>
      </c>
      <c r="Q2" s="397" t="e">
        <f>+#REF!+#REF!+#REF!+#REF!+#REF!+#REF!+F12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6</v>
      </c>
      <c r="Q3" s="462" t="e">
        <f>+#REF!+#REF!+F13+F14+#REF!+F11</f>
        <v>#REF!</v>
      </c>
      <c r="R3" s="463">
        <v>3</v>
      </c>
      <c r="S3" s="462">
        <f>+F18+F19+F20</f>
        <v>62472100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274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56.25" x14ac:dyDescent="0.2">
      <c r="A11" s="425">
        <v>1</v>
      </c>
      <c r="B11" s="425"/>
      <c r="C11" s="469" t="s">
        <v>275</v>
      </c>
      <c r="D11" s="425" t="s">
        <v>19</v>
      </c>
      <c r="E11" s="470" t="s">
        <v>276</v>
      </c>
      <c r="F11" s="471">
        <v>3116000</v>
      </c>
      <c r="G11" s="426"/>
      <c r="H11" s="426"/>
      <c r="I11" s="505" t="str">
        <f>+[14]บช.ส.!I11</f>
        <v>ประกวดราคาครั้งที่ 2 ยังไม่มีผู้เสนอราคา</v>
      </c>
      <c r="J11" s="508"/>
      <c r="K11" s="508"/>
      <c r="L11" s="508"/>
      <c r="M11" s="505" t="str">
        <f>+[14]บช.ส.!M11</f>
        <v>วิธีพิเศษ...อยู่ระหว่างบริษัทยื่นเสนอราคา</v>
      </c>
      <c r="N11" s="407">
        <v>2</v>
      </c>
      <c r="O11" s="400"/>
      <c r="P11" s="400"/>
      <c r="Q11" s="400"/>
      <c r="R11" s="400"/>
      <c r="S11" s="400"/>
    </row>
    <row r="12" spans="1:38" s="16" customFormat="1" ht="72.75" customHeight="1" x14ac:dyDescent="0.2">
      <c r="A12" s="261">
        <v>2</v>
      </c>
      <c r="B12" s="261"/>
      <c r="C12" s="472" t="s">
        <v>277</v>
      </c>
      <c r="D12" s="261" t="s">
        <v>19</v>
      </c>
      <c r="E12" s="473" t="s">
        <v>278</v>
      </c>
      <c r="F12" s="474">
        <v>920000</v>
      </c>
      <c r="G12" s="281"/>
      <c r="H12" s="281"/>
      <c r="I12" s="508" t="str">
        <f>+[14]บช.ส.!I12</f>
        <v>e-bidding โดยบ.ส.พันแสน จำกัด ลงนามสัญญเมื่อ 28 ต.ค.58 ครบกำหนดส่งมอบ 90วัน อยู่ระหว่างลงPOในระบบ</v>
      </c>
      <c r="J12" s="508"/>
      <c r="K12" s="508"/>
      <c r="L12" s="508"/>
      <c r="M12" s="508" t="str">
        <f>+[14]บช.ส.!M12</f>
        <v>อยู่ระหว่างการส่งมอบ</v>
      </c>
      <c r="N12" s="407">
        <v>1</v>
      </c>
      <c r="O12" s="400"/>
      <c r="P12" s="400"/>
      <c r="Q12" s="400"/>
      <c r="R12" s="400"/>
      <c r="S12" s="400"/>
    </row>
    <row r="13" spans="1:38" s="16" customFormat="1" ht="87" x14ac:dyDescent="0.2">
      <c r="A13" s="425">
        <v>3</v>
      </c>
      <c r="B13" s="425"/>
      <c r="C13" s="469" t="s">
        <v>277</v>
      </c>
      <c r="D13" s="425" t="s">
        <v>19</v>
      </c>
      <c r="E13" s="470" t="s">
        <v>279</v>
      </c>
      <c r="F13" s="471">
        <v>212088400</v>
      </c>
      <c r="G13" s="426"/>
      <c r="H13" s="426"/>
      <c r="I13" s="505" t="str">
        <f>+[14]บช.ส.!I13</f>
        <v>คณะกรรมการฯ วิธีพิเศษ..เห็นควรซื้อจาก บ.วินเพาเวอร์คอปอเรชั่น เป็นเงิน 205,330บาท (อยู่ระหว่างการขออนุมัติรองนายกรัฐมนตรี ในฐานะรัฐมนตรีเจ้าสังกัด)</v>
      </c>
      <c r="J13" s="508"/>
      <c r="K13" s="508"/>
      <c r="L13" s="508"/>
      <c r="M13" s="505" t="str">
        <f>+[14]บช.ส.!M13</f>
        <v>อยู่ระหว่างการขออนุมัติรองนายกรัฐมนตรี ในฐานะรัฐมนตรีเจ้าสังกัด</v>
      </c>
      <c r="N13" s="407">
        <v>2</v>
      </c>
      <c r="O13" s="400"/>
      <c r="P13" s="400"/>
      <c r="Q13" s="400"/>
      <c r="R13" s="400"/>
      <c r="S13" s="400"/>
    </row>
    <row r="14" spans="1:38" s="16" customFormat="1" ht="205.5" customHeight="1" x14ac:dyDescent="0.2">
      <c r="A14" s="425">
        <v>4</v>
      </c>
      <c r="B14" s="425"/>
      <c r="C14" s="469" t="s">
        <v>277</v>
      </c>
      <c r="D14" s="425" t="s">
        <v>19</v>
      </c>
      <c r="E14" s="470" t="s">
        <v>280</v>
      </c>
      <c r="F14" s="471">
        <v>10576600</v>
      </c>
      <c r="G14" s="426"/>
      <c r="H14" s="426"/>
      <c r="I14" s="539" t="str">
        <f>+[14]บช.ส.!I14</f>
        <v>วิธีพิเศษ..(1)เมื่อ 4 ส.ค.58 ขออนุมัติยกเว้นการปฏิบัติตามระเบียบ ก.ต.ช.ว่าด้วยการจัดหายุทธภัณฑ์ฯ โดยขออนุมัติ ตร.ให้ บช.ส.เป็นผู้ดำเนินการจัดซื้อ เนื่องจากเป็นยุทธภัณฑ์ (2) ตร.ได้อนุมัติ ลง 23 ก.ย.58ท้ายหนังสือ สกบ.ที่ 0008.423/3894 ลง 3 ก.ย.58ให้ บช.ส.เป็นผู้ดำเนินการจัดซื้อ (3)อยู่ระหว่างขอรับความเห็นชอบดำเนินการจัดซื้อ</v>
      </c>
      <c r="J14" s="508"/>
      <c r="K14" s="508"/>
      <c r="L14" s="508"/>
      <c r="M14" s="505" t="str">
        <f>+[14]บช.ส.!M14</f>
        <v>อยู่ระหว่างขอรับความเห็นชอบดำเนินการจัดซื้อ</v>
      </c>
      <c r="N14" s="407">
        <v>2</v>
      </c>
      <c r="O14" s="400"/>
      <c r="P14" s="400"/>
      <c r="Q14" s="400"/>
      <c r="R14" s="400"/>
      <c r="S14" s="400"/>
    </row>
    <row r="15" spans="1:38" s="16" customFormat="1" x14ac:dyDescent="0.2">
      <c r="A15" s="14"/>
      <c r="B15" s="14"/>
      <c r="C15" s="14"/>
      <c r="D15" s="14"/>
      <c r="E15" s="493"/>
      <c r="F15" s="304"/>
      <c r="G15" s="31"/>
      <c r="H15" s="31"/>
      <c r="I15" s="31"/>
      <c r="J15" s="31"/>
      <c r="K15" s="15"/>
      <c r="L15" s="15"/>
      <c r="M15" s="31"/>
      <c r="N15" s="407"/>
      <c r="O15" s="400"/>
      <c r="P15" s="400"/>
      <c r="Q15" s="400"/>
      <c r="R15" s="400"/>
      <c r="S15" s="400"/>
    </row>
    <row r="16" spans="1:38" s="12" customFormat="1" x14ac:dyDescent="0.5">
      <c r="A16" s="232">
        <f>+A14</f>
        <v>4</v>
      </c>
      <c r="B16" s="232"/>
      <c r="C16" s="232"/>
      <c r="D16" s="232"/>
      <c r="E16" s="233" t="s">
        <v>58</v>
      </c>
      <c r="F16" s="297">
        <f>SUM(F11:F15)</f>
        <v>226701000</v>
      </c>
      <c r="G16" s="234">
        <f>SUM(G11:G15)</f>
        <v>0</v>
      </c>
      <c r="H16" s="234">
        <f>SUM(H11:H15)</f>
        <v>0</v>
      </c>
      <c r="I16" s="234"/>
      <c r="J16" s="234" t="e">
        <f>SUM(#REF!)</f>
        <v>#REF!</v>
      </c>
      <c r="K16" s="234" t="e">
        <f>SUM(#REF!)</f>
        <v>#REF!</v>
      </c>
      <c r="L16" s="234" t="e">
        <f>SUM(#REF!)</f>
        <v>#REF!</v>
      </c>
      <c r="M16" s="234"/>
      <c r="N16" s="406"/>
      <c r="O16" s="397">
        <f>+F16+G16</f>
        <v>226701000</v>
      </c>
      <c r="P16" s="398"/>
      <c r="Q16" s="398"/>
      <c r="R16" s="399"/>
      <c r="S16" s="399"/>
    </row>
    <row r="17" spans="1:46" s="16" customFormat="1" x14ac:dyDescent="0.2">
      <c r="A17" s="14"/>
      <c r="B17" s="14"/>
      <c r="C17" s="14"/>
      <c r="D17" s="14"/>
      <c r="E17" s="27" t="s">
        <v>59</v>
      </c>
      <c r="F17" s="304"/>
      <c r="G17" s="31"/>
      <c r="H17" s="31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46" s="16" customFormat="1" ht="108.75" x14ac:dyDescent="0.2">
      <c r="A18" s="425">
        <v>1</v>
      </c>
      <c r="B18" s="425"/>
      <c r="C18" s="469" t="s">
        <v>277</v>
      </c>
      <c r="D18" s="425" t="s">
        <v>19</v>
      </c>
      <c r="E18" s="470" t="s">
        <v>281</v>
      </c>
      <c r="F18" s="471">
        <v>14768000</v>
      </c>
      <c r="G18" s="428"/>
      <c r="H18" s="428"/>
      <c r="I18" s="505" t="str">
        <f>+[14]บช.ส.!I18</f>
        <v>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</v>
      </c>
      <c r="J18" s="31"/>
      <c r="K18" s="15"/>
      <c r="L18" s="15"/>
      <c r="M18" s="505" t="str">
        <f>+[14]บช.ส.!M18</f>
        <v xml:space="preserve"> อยู่ระหว่างยื่นซองเสนอราคา (ครบกำหนด วันที่ 25 พ.ย.2558)</v>
      </c>
      <c r="N18" s="407">
        <v>2</v>
      </c>
      <c r="O18" s="400"/>
      <c r="P18" s="400"/>
      <c r="Q18" s="400"/>
      <c r="R18" s="400"/>
      <c r="S18" s="400"/>
    </row>
    <row r="19" spans="1:46" s="16" customFormat="1" ht="108.75" x14ac:dyDescent="0.2">
      <c r="A19" s="425">
        <v>2</v>
      </c>
      <c r="B19" s="425"/>
      <c r="C19" s="469" t="s">
        <v>277</v>
      </c>
      <c r="D19" s="425" t="s">
        <v>19</v>
      </c>
      <c r="E19" s="470" t="s">
        <v>282</v>
      </c>
      <c r="F19" s="471">
        <v>24308700</v>
      </c>
      <c r="G19" s="428"/>
      <c r="H19" s="428"/>
      <c r="I19" s="505" t="str">
        <f>+[14]บช.ส.!I19</f>
        <v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v>
      </c>
      <c r="J19" s="31"/>
      <c r="K19" s="15"/>
      <c r="L19" s="15"/>
      <c r="M19" s="505" t="str">
        <f>+[14]บช.ส.!M19</f>
        <v>อยู่ระหว่างยื่นซองเสนอราคา (ครบกำหนด วันที่ 25 พ.ย.2558)</v>
      </c>
      <c r="N19" s="407">
        <v>2</v>
      </c>
      <c r="O19" s="400"/>
      <c r="P19" s="400"/>
      <c r="Q19" s="400"/>
      <c r="R19" s="400"/>
      <c r="S19" s="400"/>
    </row>
    <row r="20" spans="1:46" s="16" customFormat="1" ht="108.75" x14ac:dyDescent="0.2">
      <c r="A20" s="425">
        <v>3</v>
      </c>
      <c r="B20" s="425"/>
      <c r="C20" s="469" t="s">
        <v>277</v>
      </c>
      <c r="D20" s="425" t="s">
        <v>19</v>
      </c>
      <c r="E20" s="470" t="s">
        <v>283</v>
      </c>
      <c r="F20" s="471">
        <v>23395400</v>
      </c>
      <c r="G20" s="428"/>
      <c r="H20" s="428"/>
      <c r="I20" s="505" t="str">
        <f>+[14]บช.ส.!I20</f>
        <v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v>
      </c>
      <c r="J20" s="31"/>
      <c r="K20" s="15"/>
      <c r="L20" s="15"/>
      <c r="M20" s="505" t="str">
        <f>+[14]บช.ส.!M20</f>
        <v>อยู่ระหว่างยื่นซองเสนอราคา (ครบกำหนด วันที่ 25 พ.ย.2558)</v>
      </c>
      <c r="N20" s="407">
        <v>2</v>
      </c>
      <c r="O20" s="400"/>
      <c r="P20" s="400"/>
      <c r="Q20" s="400"/>
      <c r="R20" s="400"/>
      <c r="S20" s="400"/>
    </row>
    <row r="21" spans="1:46" s="16" customFormat="1" x14ac:dyDescent="0.2">
      <c r="A21" s="14"/>
      <c r="B21" s="261"/>
      <c r="C21" s="261"/>
      <c r="D21" s="261"/>
      <c r="E21" s="473"/>
      <c r="F21" s="537"/>
      <c r="G21" s="281"/>
      <c r="H21" s="281"/>
      <c r="I21" s="281"/>
      <c r="J21" s="31"/>
      <c r="K21" s="15"/>
      <c r="L21" s="15"/>
      <c r="M21" s="281"/>
      <c r="N21" s="407"/>
      <c r="O21" s="400"/>
      <c r="P21" s="400"/>
      <c r="Q21" s="400"/>
      <c r="R21" s="400"/>
      <c r="S21" s="400"/>
    </row>
    <row r="22" spans="1:46" s="16" customFormat="1" ht="22.5" thickBot="1" x14ac:dyDescent="0.55000000000000004">
      <c r="A22" s="235">
        <f>+A20</f>
        <v>3</v>
      </c>
      <c r="B22" s="235"/>
      <c r="C22" s="235"/>
      <c r="D22" s="235"/>
      <c r="E22" s="236" t="s">
        <v>60</v>
      </c>
      <c r="F22" s="298">
        <f>SUM(F18:F21)</f>
        <v>62472100</v>
      </c>
      <c r="G22" s="237">
        <f>SUM(G20:G21)</f>
        <v>0</v>
      </c>
      <c r="H22" s="237">
        <f>SUM(H20:H21)</f>
        <v>0</v>
      </c>
      <c r="I22" s="237"/>
      <c r="J22" s="237">
        <f>SUM(J20:J21)</f>
        <v>0</v>
      </c>
      <c r="K22" s="237">
        <f>SUM(K20:K21)</f>
        <v>0</v>
      </c>
      <c r="L22" s="237">
        <f>SUM(L20:L21)</f>
        <v>0</v>
      </c>
      <c r="M22" s="237"/>
      <c r="N22" s="405"/>
      <c r="O22" s="402">
        <f>+F22+G22</f>
        <v>62472100</v>
      </c>
      <c r="P22" s="398"/>
      <c r="Q22" s="398"/>
      <c r="R22" s="400"/>
      <c r="S22" s="400"/>
    </row>
    <row r="23" spans="1:46" s="480" customFormat="1" ht="22.5" thickBot="1" x14ac:dyDescent="0.55000000000000004">
      <c r="A23" s="238">
        <f>+A16+A22</f>
        <v>7</v>
      </c>
      <c r="B23" s="239"/>
      <c r="C23" s="239"/>
      <c r="D23" s="239"/>
      <c r="E23" s="239" t="s">
        <v>284</v>
      </c>
      <c r="F23" s="299">
        <f>F16+F22</f>
        <v>289173100</v>
      </c>
      <c r="G23" s="289">
        <f>+G16+G22</f>
        <v>0</v>
      </c>
      <c r="H23" s="289">
        <f>+H16+H22</f>
        <v>0</v>
      </c>
      <c r="I23" s="240"/>
      <c r="J23" s="240" t="e">
        <f>J16+J22</f>
        <v>#REF!</v>
      </c>
      <c r="K23" s="240" t="e">
        <f>K16+K22</f>
        <v>#REF!</v>
      </c>
      <c r="L23" s="240" t="e">
        <f>L16+L22</f>
        <v>#REF!</v>
      </c>
      <c r="M23" s="240"/>
      <c r="N23" s="408"/>
      <c r="O23" s="397">
        <f>+O16+O22</f>
        <v>289173100</v>
      </c>
      <c r="P23" s="479"/>
      <c r="Q23" s="479"/>
      <c r="R23" s="399"/>
      <c r="S23" s="399"/>
      <c r="T23" s="12"/>
      <c r="U23" s="12"/>
      <c r="V23" s="12"/>
      <c r="W23" s="12"/>
      <c r="X23" s="12"/>
      <c r="Y23" s="12"/>
      <c r="Z23" s="12"/>
      <c r="AA23" s="12"/>
    </row>
    <row r="24" spans="1:46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5" spans="1:46" s="16" customFormat="1" x14ac:dyDescent="0.5">
      <c r="A25" s="481"/>
      <c r="B25" s="481"/>
      <c r="C25" s="481"/>
      <c r="D25" s="481"/>
      <c r="E25" s="482"/>
      <c r="F25" s="32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7" spans="1:46" s="77" customFormat="1" x14ac:dyDescent="0.5">
      <c r="A27" s="483"/>
      <c r="B27" s="483"/>
      <c r="C27" s="483"/>
      <c r="D27" s="483"/>
      <c r="F27" s="270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x14ac:dyDescent="0.5">
      <c r="A28" s="483"/>
      <c r="B28" s="483"/>
      <c r="C28" s="483"/>
      <c r="D28" s="483"/>
      <c r="F28" s="270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F29" s="270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F30" s="270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</sheetData>
  <autoFilter ref="N1:N30"/>
  <mergeCells count="20">
    <mergeCell ref="A1:M1"/>
    <mergeCell ref="A2:M2"/>
    <mergeCell ref="A3:M3"/>
    <mergeCell ref="A5:A8"/>
    <mergeCell ref="B5:B8"/>
    <mergeCell ref="Q5:Q8"/>
    <mergeCell ref="F4:G4"/>
    <mergeCell ref="F6:F8"/>
    <mergeCell ref="G6:G8"/>
    <mergeCell ref="C5:C8"/>
    <mergeCell ref="P5:P8"/>
    <mergeCell ref="K5:K8"/>
    <mergeCell ref="L5:L8"/>
    <mergeCell ref="J5:J8"/>
    <mergeCell ref="E5:E8"/>
    <mergeCell ref="D5:D8"/>
    <mergeCell ref="I5:I8"/>
    <mergeCell ref="F5:H5"/>
    <mergeCell ref="H6:H8"/>
    <mergeCell ref="M5:M8"/>
  </mergeCells>
  <phoneticPr fontId="2" type="noConversion"/>
  <conditionalFormatting sqref="F18:F20 F11 F13:F14">
    <cfRule type="cellIs" dxfId="68" priority="6" stopIfTrue="1" operator="between">
      <formula>2000001</formula>
      <formula>500000000</formula>
    </cfRule>
  </conditionalFormatting>
  <conditionalFormatting sqref="F12">
    <cfRule type="cellIs" dxfId="67" priority="2" stopIfTrue="1" operator="between">
      <formula>2000001</formula>
      <formula>500000000</formula>
    </cfRule>
  </conditionalFormatting>
  <pageMargins left="0.47244094488188981" right="0.55118110236220474" top="0.78740157480314965" bottom="0.39370078740157483" header="0.19685039370078741" footer="0.27559055118110237"/>
  <pageSetup paperSize="9" scale="80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2"/>
  <sheetViews>
    <sheetView topLeftCell="A29" zoomScaleNormal="100" zoomScaleSheetLayoutView="100" workbookViewId="0">
      <selection sqref="A1:M1"/>
    </sheetView>
  </sheetViews>
  <sheetFormatPr defaultColWidth="9.140625" defaultRowHeight="21.75" x14ac:dyDescent="0.5"/>
  <cols>
    <col min="1" max="2" width="6.140625" style="486" customWidth="1"/>
    <col min="3" max="3" width="7.5703125" style="486" customWidth="1"/>
    <col min="4" max="4" width="6.5703125" style="486" customWidth="1"/>
    <col min="5" max="5" width="42.85546875" style="460" customWidth="1"/>
    <col min="6" max="6" width="14.5703125" style="559" bestFit="1" customWidth="1"/>
    <col min="7" max="7" width="12.5703125" style="488" customWidth="1"/>
    <col min="8" max="8" width="12.5703125" style="488" hidden="1" customWidth="1"/>
    <col min="9" max="9" width="29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85546875" style="488" customWidth="1"/>
    <col min="14" max="14" width="3.5703125" style="465" customWidth="1"/>
    <col min="15" max="15" width="19.5703125" style="399" bestFit="1" customWidth="1"/>
    <col min="16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 t="s">
        <v>70</v>
      </c>
      <c r="Q2" s="397" t="s">
        <v>70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 t="s">
        <v>70</v>
      </c>
      <c r="Q3" s="462" t="s">
        <v>70</v>
      </c>
      <c r="R3" s="463">
        <v>10</v>
      </c>
      <c r="S3" s="462">
        <f>SUM(F24:F31)</f>
        <v>200790800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20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hidden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idden="1" x14ac:dyDescent="0.2">
      <c r="A11" s="261"/>
      <c r="B11" s="261"/>
      <c r="C11" s="261"/>
      <c r="D11" s="261"/>
      <c r="E11" s="473"/>
      <c r="F11" s="474"/>
      <c r="G11" s="281"/>
      <c r="H11" s="281"/>
      <c r="I11" s="567"/>
      <c r="J11" s="31"/>
      <c r="K11" s="15"/>
      <c r="L11" s="15"/>
      <c r="M11" s="567"/>
      <c r="N11" s="407"/>
      <c r="O11" s="400"/>
      <c r="P11" s="400"/>
      <c r="Q11" s="400"/>
      <c r="R11" s="400"/>
      <c r="S11" s="400"/>
    </row>
    <row r="12" spans="1:38" s="16" customFormat="1" hidden="1" x14ac:dyDescent="0.2">
      <c r="A12" s="261"/>
      <c r="B12" s="261"/>
      <c r="C12" s="261"/>
      <c r="D12" s="261"/>
      <c r="E12" s="473"/>
      <c r="F12" s="474"/>
      <c r="G12" s="281"/>
      <c r="H12" s="281"/>
      <c r="I12" s="567"/>
      <c r="J12" s="31"/>
      <c r="K12" s="15"/>
      <c r="L12" s="15"/>
      <c r="M12" s="567"/>
      <c r="N12" s="407"/>
      <c r="O12" s="400"/>
      <c r="P12" s="400"/>
      <c r="Q12" s="400"/>
      <c r="R12" s="400"/>
      <c r="S12" s="400"/>
    </row>
    <row r="13" spans="1:38" s="16" customFormat="1" hidden="1" x14ac:dyDescent="0.2">
      <c r="A13" s="261"/>
      <c r="B13" s="261"/>
      <c r="C13" s="261"/>
      <c r="D13" s="261"/>
      <c r="E13" s="473"/>
      <c r="F13" s="474"/>
      <c r="G13" s="281"/>
      <c r="H13" s="281"/>
      <c r="I13" s="567"/>
      <c r="J13" s="31"/>
      <c r="K13" s="15"/>
      <c r="L13" s="15"/>
      <c r="M13" s="567"/>
      <c r="N13" s="407"/>
      <c r="O13" s="400"/>
      <c r="P13" s="400"/>
      <c r="Q13" s="400"/>
      <c r="R13" s="400"/>
      <c r="S13" s="400"/>
    </row>
    <row r="14" spans="1:38" s="16" customFormat="1" hidden="1" x14ac:dyDescent="0.2">
      <c r="A14" s="261"/>
      <c r="B14" s="261"/>
      <c r="C14" s="261"/>
      <c r="D14" s="261"/>
      <c r="E14" s="473"/>
      <c r="F14" s="474"/>
      <c r="G14" s="281"/>
      <c r="H14" s="281"/>
      <c r="I14" s="567"/>
      <c r="J14" s="31"/>
      <c r="K14" s="15"/>
      <c r="L14" s="15"/>
      <c r="M14" s="567"/>
      <c r="N14" s="407"/>
      <c r="O14" s="400"/>
      <c r="P14" s="400"/>
      <c r="Q14" s="400"/>
      <c r="R14" s="400"/>
      <c r="S14" s="400"/>
    </row>
    <row r="15" spans="1:38" s="16" customFormat="1" ht="113.25" hidden="1" customHeight="1" x14ac:dyDescent="0.2">
      <c r="A15" s="261"/>
      <c r="B15" s="261"/>
      <c r="C15" s="261"/>
      <c r="D15" s="261"/>
      <c r="E15" s="473"/>
      <c r="F15" s="474"/>
      <c r="G15" s="281"/>
      <c r="H15" s="281"/>
      <c r="I15" s="567"/>
      <c r="J15" s="31"/>
      <c r="K15" s="15"/>
      <c r="L15" s="15"/>
      <c r="M15" s="567"/>
      <c r="N15" s="407"/>
      <c r="O15" s="400"/>
      <c r="P15" s="400"/>
      <c r="Q15" s="400"/>
      <c r="R15" s="400"/>
      <c r="S15" s="400"/>
    </row>
    <row r="16" spans="1:38" s="16" customFormat="1" hidden="1" x14ac:dyDescent="0.2">
      <c r="A16" s="14"/>
      <c r="B16" s="14"/>
      <c r="C16" s="14"/>
      <c r="D16" s="14"/>
      <c r="E16" s="493"/>
      <c r="F16" s="304"/>
      <c r="G16" s="31"/>
      <c r="H16" s="31"/>
      <c r="I16" s="567"/>
      <c r="J16" s="31"/>
      <c r="K16" s="15"/>
      <c r="L16" s="15"/>
      <c r="M16" s="567"/>
      <c r="N16" s="407"/>
      <c r="O16" s="400"/>
      <c r="P16" s="400"/>
      <c r="Q16" s="400"/>
      <c r="R16" s="400"/>
      <c r="S16" s="400"/>
    </row>
    <row r="17" spans="1:19" s="16" customFormat="1" hidden="1" x14ac:dyDescent="0.2">
      <c r="A17" s="14"/>
      <c r="B17" s="14"/>
      <c r="C17" s="14"/>
      <c r="D17" s="14"/>
      <c r="E17" s="493"/>
      <c r="F17" s="304"/>
      <c r="G17" s="31"/>
      <c r="H17" s="31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19" s="16" customFormat="1" hidden="1" x14ac:dyDescent="0.2">
      <c r="A18" s="14"/>
      <c r="B18" s="14"/>
      <c r="C18" s="14"/>
      <c r="D18" s="14"/>
      <c r="E18" s="493"/>
      <c r="F18" s="304"/>
      <c r="G18" s="31"/>
      <c r="H18" s="31"/>
      <c r="I18" s="31"/>
      <c r="J18" s="31"/>
      <c r="K18" s="15"/>
      <c r="L18" s="15"/>
      <c r="M18" s="31"/>
      <c r="N18" s="407"/>
      <c r="O18" s="400"/>
      <c r="P18" s="400"/>
      <c r="Q18" s="400"/>
      <c r="R18" s="400"/>
      <c r="S18" s="400"/>
    </row>
    <row r="19" spans="1:19" s="16" customFormat="1" hidden="1" x14ac:dyDescent="0.2">
      <c r="A19" s="14"/>
      <c r="B19" s="14"/>
      <c r="C19" s="14"/>
      <c r="D19" s="14"/>
      <c r="E19" s="493"/>
      <c r="F19" s="304"/>
      <c r="G19" s="31"/>
      <c r="H19" s="31"/>
      <c r="I19" s="31"/>
      <c r="J19" s="31"/>
      <c r="K19" s="15"/>
      <c r="L19" s="15"/>
      <c r="M19" s="31"/>
      <c r="N19" s="407"/>
      <c r="O19" s="400"/>
      <c r="P19" s="400"/>
      <c r="Q19" s="400"/>
      <c r="R19" s="400"/>
      <c r="S19" s="400"/>
    </row>
    <row r="20" spans="1:19" s="16" customFormat="1" hidden="1" x14ac:dyDescent="0.2">
      <c r="A20" s="14"/>
      <c r="B20" s="14"/>
      <c r="C20" s="14"/>
      <c r="D20" s="14"/>
      <c r="E20" s="493"/>
      <c r="F20" s="304"/>
      <c r="G20" s="31"/>
      <c r="H20" s="31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19" s="16" customFormat="1" hidden="1" x14ac:dyDescent="0.2">
      <c r="A21" s="14"/>
      <c r="B21" s="476"/>
      <c r="C21" s="476"/>
      <c r="D21" s="476"/>
      <c r="E21" s="493"/>
      <c r="F21" s="304"/>
      <c r="G21" s="31"/>
      <c r="H21" s="31"/>
      <c r="I21" s="31"/>
      <c r="J21" s="31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19" s="12" customFormat="1" hidden="1" x14ac:dyDescent="0.5">
      <c r="A22" s="232">
        <f>+A20</f>
        <v>0</v>
      </c>
      <c r="B22" s="232"/>
      <c r="C22" s="232"/>
      <c r="D22" s="232"/>
      <c r="E22" s="233" t="s">
        <v>58</v>
      </c>
      <c r="F22" s="297">
        <f>SUM(F11:F21)</f>
        <v>0</v>
      </c>
      <c r="G22" s="297">
        <f>SUM(G11:G21)</f>
        <v>0</v>
      </c>
      <c r="H22" s="297">
        <f>SUM(H11:H21)</f>
        <v>0</v>
      </c>
      <c r="I22" s="234"/>
      <c r="J22" s="234">
        <f>SUM(J21:J21)</f>
        <v>0</v>
      </c>
      <c r="K22" s="234">
        <f>SUM(K21:K21)</f>
        <v>0</v>
      </c>
      <c r="L22" s="234">
        <f>SUM(L21:L21)</f>
        <v>0</v>
      </c>
      <c r="M22" s="234"/>
      <c r="N22" s="406"/>
      <c r="O22" s="397">
        <f>+F22+G22</f>
        <v>0</v>
      </c>
      <c r="P22" s="398"/>
      <c r="Q22" s="398"/>
      <c r="R22" s="399"/>
      <c r="S22" s="399"/>
    </row>
    <row r="23" spans="1:19" s="16" customFormat="1" x14ac:dyDescent="0.2">
      <c r="A23" s="14"/>
      <c r="B23" s="14"/>
      <c r="C23" s="14"/>
      <c r="D23" s="14"/>
      <c r="E23" s="27" t="s">
        <v>59</v>
      </c>
      <c r="F23" s="304"/>
      <c r="G23" s="31"/>
      <c r="H23" s="31"/>
      <c r="I23" s="31"/>
      <c r="J23" s="31"/>
      <c r="K23" s="15"/>
      <c r="L23" s="15"/>
      <c r="M23" s="31"/>
      <c r="N23" s="407"/>
      <c r="O23" s="400"/>
      <c r="P23" s="400"/>
      <c r="Q23" s="400"/>
      <c r="R23" s="400"/>
      <c r="S23" s="400"/>
    </row>
    <row r="24" spans="1:19" s="16" customFormat="1" ht="118.5" customHeight="1" x14ac:dyDescent="0.2">
      <c r="A24" s="424">
        <v>1</v>
      </c>
      <c r="B24" s="424"/>
      <c r="C24" s="544" t="s">
        <v>285</v>
      </c>
      <c r="D24" s="425" t="s">
        <v>20</v>
      </c>
      <c r="E24" s="541" t="s">
        <v>286</v>
      </c>
      <c r="F24" s="526">
        <v>15371500</v>
      </c>
      <c r="G24" s="423"/>
      <c r="H24" s="423"/>
      <c r="I24" s="505" t="str">
        <f>+[15]สตม.!I24</f>
        <v>อยู่ระหว่างขอรับความเห็นชอบดำเนินการประกวดราคาฯ</v>
      </c>
      <c r="J24" s="508"/>
      <c r="K24" s="508"/>
      <c r="L24" s="508"/>
      <c r="M24" s="505" t="str">
        <f>+[15]สตม.!M24</f>
        <v>อยู่ระหว่างนำร่างประกาศ และร่างเอกสารประกวดราคาฯ ลงเผยแพร่ในเว็บไซต์ของกรมบัญชีกลาง ระหว่างวันที่ 18-26 พ.ย.58 เพื่อให้สาธารณะชนวิจารณ์ร่าง</v>
      </c>
      <c r="N24" s="407">
        <v>2</v>
      </c>
      <c r="O24" s="400"/>
      <c r="P24" s="400"/>
      <c r="Q24" s="400"/>
      <c r="R24" s="400"/>
      <c r="S24" s="400"/>
    </row>
    <row r="25" spans="1:19" s="284" customFormat="1" ht="99.75" customHeight="1" x14ac:dyDescent="0.2">
      <c r="A25" s="424">
        <v>2</v>
      </c>
      <c r="B25" s="425"/>
      <c r="C25" s="544" t="s">
        <v>285</v>
      </c>
      <c r="D25" s="425" t="s">
        <v>20</v>
      </c>
      <c r="E25" s="541" t="s">
        <v>287</v>
      </c>
      <c r="F25" s="526">
        <v>22373100</v>
      </c>
      <c r="G25" s="426"/>
      <c r="H25" s="426"/>
      <c r="I25" s="505" t="str">
        <f>+[15]สตม.!I25</f>
        <v>อยู่ระหว่างรอแบบรูปรายการจาก ยธ.สกบ.</v>
      </c>
      <c r="J25" s="508"/>
      <c r="K25" s="508"/>
      <c r="L25" s="508"/>
      <c r="M25" s="505" t="str">
        <f>+[15]สตม.!M25</f>
        <v xml:space="preserve"> - ได้รับแบบรูปรายการเรียบร้อยแล้ว เมื่อ 10 พ.ย.58 
 - อยู่ระหว่างคณะกรรมการกำหนดราคากลางก่อสร้าง </v>
      </c>
      <c r="N25" s="410">
        <v>2</v>
      </c>
      <c r="O25" s="401"/>
      <c r="P25" s="401"/>
      <c r="Q25" s="401"/>
      <c r="R25" s="401"/>
      <c r="S25" s="401"/>
    </row>
    <row r="26" spans="1:19" s="284" customFormat="1" ht="152.25" x14ac:dyDescent="0.2">
      <c r="A26" s="425">
        <v>3</v>
      </c>
      <c r="B26" s="425"/>
      <c r="C26" s="544" t="s">
        <v>285</v>
      </c>
      <c r="D26" s="425" t="s">
        <v>20</v>
      </c>
      <c r="E26" s="541" t="s">
        <v>288</v>
      </c>
      <c r="F26" s="526">
        <v>28408700</v>
      </c>
      <c r="G26" s="426"/>
      <c r="H26" s="426"/>
      <c r="I26" s="505" t="str">
        <f>+[15]สตม.!I26</f>
        <v>อยู่ระหว่างรอแบบรูปรายการจาก ยธ.สกบ.</v>
      </c>
      <c r="J26" s="508"/>
      <c r="K26" s="508"/>
      <c r="L26" s="508"/>
      <c r="M26" s="505" t="str">
        <f>+[15]สตม.!M26</f>
        <v> - แต่งตั้งคณะกรรมการกำหนดราคากลางแล้ว เมื่อ 25 พ.ย.58
 - อยู่ระหว่างรอรับแบบรูปรายการฉบับสมบูรณ์ จาก ยธ.สกบ. คาดว่าจะได้รับแบบฯ ภายในสัปดาห์นี้ เพื่อจัดส่งให้คณะกรรมการกำหนดราคากลาง</v>
      </c>
      <c r="N26" s="410">
        <v>2</v>
      </c>
      <c r="O26" s="401"/>
      <c r="P26" s="401"/>
      <c r="Q26" s="401"/>
      <c r="R26" s="401"/>
      <c r="S26" s="401"/>
    </row>
    <row r="27" spans="1:19" s="284" customFormat="1" ht="92.25" customHeight="1" x14ac:dyDescent="0.2">
      <c r="A27" s="424">
        <v>4</v>
      </c>
      <c r="B27" s="425"/>
      <c r="C27" s="544" t="s">
        <v>285</v>
      </c>
      <c r="D27" s="425" t="s">
        <v>20</v>
      </c>
      <c r="E27" s="541" t="s">
        <v>289</v>
      </c>
      <c r="F27" s="526">
        <v>27966400</v>
      </c>
      <c r="G27" s="426"/>
      <c r="H27" s="426"/>
      <c r="I27" s="505" t="str">
        <f>+[15]สตม.!I27</f>
        <v>อยู่ระหว่างรอประมาณราคาจาก ยธ.จว.หนองคาย เพื่อจะส่งคณะกรรมการกำหนดราคาต่อไป</v>
      </c>
      <c r="J27" s="508"/>
      <c r="K27" s="508"/>
      <c r="L27" s="508"/>
      <c r="M27" s="505" t="str">
        <f>+[15]สตม.!M27</f>
        <v>อยู่ระหว่างเผยแพร่ประกาศประกวดราคา/ขายเอกสาร ระหว่างวันที่ 23 พ.ย.-1 ธ.ค.58 
ยื่นข้อเสนอ ในวันที่ 15 ธ.ค.2558</v>
      </c>
      <c r="N27" s="410">
        <v>2</v>
      </c>
      <c r="O27" s="401"/>
      <c r="P27" s="401"/>
      <c r="Q27" s="401"/>
      <c r="R27" s="401"/>
      <c r="S27" s="401"/>
    </row>
    <row r="28" spans="1:19" s="284" customFormat="1" ht="116.25" customHeight="1" x14ac:dyDescent="0.2">
      <c r="A28" s="425">
        <v>5</v>
      </c>
      <c r="B28" s="425"/>
      <c r="C28" s="544" t="s">
        <v>285</v>
      </c>
      <c r="D28" s="425" t="s">
        <v>20</v>
      </c>
      <c r="E28" s="541" t="s">
        <v>290</v>
      </c>
      <c r="F28" s="526">
        <v>27740300</v>
      </c>
      <c r="G28" s="426"/>
      <c r="H28" s="426"/>
      <c r="I28" s="505" t="str">
        <f>+[15]สตม.!I28</f>
        <v>อยู่ระหว่างรอแบบรูปรายการจาก ยธ.สกบ.</v>
      </c>
      <c r="J28" s="508"/>
      <c r="K28" s="508"/>
      <c r="L28" s="508"/>
      <c r="M28" s="505" t="str">
        <f>+[15]สตม.!M28</f>
        <v xml:space="preserve"> - ได้รับแบบรูปรายการเรียบร้อยแล้ว
 - อยู่ระหว่างการดำเนินการของคณะกรรมการกำหนดราคากลาง กำหนดให้มีการประชุมครั้งที่ 2 วันพุธที่ 2 ธ.ค.58</v>
      </c>
      <c r="N28" s="410">
        <v>2</v>
      </c>
      <c r="O28" s="401"/>
      <c r="P28" s="401"/>
      <c r="Q28" s="401"/>
      <c r="R28" s="401"/>
      <c r="S28" s="401"/>
    </row>
    <row r="29" spans="1:19" s="284" customFormat="1" ht="108.75" x14ac:dyDescent="0.2">
      <c r="A29" s="424">
        <v>6</v>
      </c>
      <c r="B29" s="425"/>
      <c r="C29" s="544" t="s">
        <v>285</v>
      </c>
      <c r="D29" s="425" t="s">
        <v>20</v>
      </c>
      <c r="E29" s="541" t="s">
        <v>291</v>
      </c>
      <c r="F29" s="526">
        <v>23328300</v>
      </c>
      <c r="G29" s="426"/>
      <c r="H29" s="426"/>
      <c r="I29" s="505" t="str">
        <f>+[15]สตม.!I29</f>
        <v>อยู่ระหว่างรอแบบรูปรายการจาก ยธ.สกบ.</v>
      </c>
      <c r="J29" s="508"/>
      <c r="K29" s="508"/>
      <c r="L29" s="508"/>
      <c r="M29" s="505" t="str">
        <f>+[15]สตม.!M29</f>
        <v xml:space="preserve"> - ได้รับแบบรูปรายการและผังบริเวณจาก ยธ.สกบ. เมื่อวันที่ 23 พ.ย.58
 - ขณะนี้ได้ส่งแบบและผังดังกล่าวให้กับ ยธ.จว.เพื่อดำเนินการประมาณการราคาค่าก่อสร้างฯ ทั้งหมดอีกครั้ง</v>
      </c>
      <c r="N29" s="410">
        <v>2</v>
      </c>
      <c r="O29" s="401"/>
      <c r="P29" s="401"/>
      <c r="Q29" s="401"/>
      <c r="R29" s="401"/>
      <c r="S29" s="401"/>
    </row>
    <row r="30" spans="1:19" s="284" customFormat="1" ht="87" x14ac:dyDescent="0.2">
      <c r="A30" s="425">
        <v>7</v>
      </c>
      <c r="B30" s="425"/>
      <c r="C30" s="544" t="s">
        <v>285</v>
      </c>
      <c r="D30" s="425" t="s">
        <v>20</v>
      </c>
      <c r="E30" s="541" t="s">
        <v>292</v>
      </c>
      <c r="F30" s="526">
        <v>26585300</v>
      </c>
      <c r="G30" s="426"/>
      <c r="H30" s="426"/>
      <c r="I30" s="505" t="str">
        <f>+[15]สตม.!I30</f>
        <v>อยู่ระหว่างรอแบบรูปรายการจาก ยธ.สกบ.</v>
      </c>
      <c r="J30" s="508"/>
      <c r="K30" s="508"/>
      <c r="L30" s="508"/>
      <c r="M30" s="505" t="str">
        <f>+[15]สตม.!M30</f>
        <v xml:space="preserve"> - ได้รับแบบรูปรายการ เมื่อ 24 พ.ย.58
 - อยู่ระหว่างคณะกรรมการกำหนดราคากลางงานก่อสร้าง</v>
      </c>
      <c r="N30" s="410">
        <v>2</v>
      </c>
      <c r="O30" s="401"/>
      <c r="P30" s="401"/>
      <c r="Q30" s="401"/>
      <c r="R30" s="401"/>
      <c r="S30" s="401"/>
    </row>
    <row r="31" spans="1:19" s="284" customFormat="1" ht="95.25" customHeight="1" x14ac:dyDescent="0.2">
      <c r="A31" s="424">
        <v>8</v>
      </c>
      <c r="B31" s="425"/>
      <c r="C31" s="544" t="s">
        <v>285</v>
      </c>
      <c r="D31" s="425" t="s">
        <v>20</v>
      </c>
      <c r="E31" s="541" t="s">
        <v>293</v>
      </c>
      <c r="F31" s="526">
        <v>29017200</v>
      </c>
      <c r="G31" s="426"/>
      <c r="H31" s="426"/>
      <c r="I31" s="505" t="str">
        <f>+[15]สตม.!I31</f>
        <v>อยู่ระหว่างกำหนดราคากลาง</v>
      </c>
      <c r="J31" s="508"/>
      <c r="K31" s="508"/>
      <c r="L31" s="508"/>
      <c r="M31" s="505" t="str">
        <f>+[15]สตม.!M31</f>
        <v>อยู่ระหว่างนำร่างประกาศ/ร่างประกวดราคา ขึ้นเว็บไซต์กรมบัญชีกลาง ระหว่างวันที่ 20-26 พ.ย.58 เพื่อให้สาธารณะชนวิจารณ์ร่าง</v>
      </c>
      <c r="N31" s="410">
        <v>2</v>
      </c>
      <c r="O31" s="401"/>
      <c r="P31" s="401"/>
      <c r="Q31" s="401"/>
      <c r="R31" s="401"/>
      <c r="S31" s="401"/>
    </row>
    <row r="32" spans="1:19" s="16" customFormat="1" x14ac:dyDescent="0.2">
      <c r="A32" s="14"/>
      <c r="B32" s="14"/>
      <c r="C32" s="14"/>
      <c r="D32" s="14"/>
      <c r="E32" s="477"/>
      <c r="F32" s="496" t="s">
        <v>294</v>
      </c>
      <c r="G32" s="31"/>
      <c r="H32" s="31"/>
      <c r="I32" s="31"/>
      <c r="J32" s="31"/>
      <c r="K32" s="15"/>
      <c r="L32" s="15"/>
      <c r="M32" s="31"/>
      <c r="N32" s="407"/>
      <c r="O32" s="400"/>
      <c r="P32" s="400"/>
      <c r="Q32" s="400"/>
      <c r="R32" s="400"/>
      <c r="S32" s="400"/>
    </row>
    <row r="33" spans="1:46" s="16" customFormat="1" ht="22.5" thickBot="1" x14ac:dyDescent="0.55000000000000004">
      <c r="A33" s="235">
        <f>+A31</f>
        <v>8</v>
      </c>
      <c r="B33" s="235"/>
      <c r="C33" s="235"/>
      <c r="D33" s="235"/>
      <c r="E33" s="236" t="s">
        <v>60</v>
      </c>
      <c r="F33" s="298">
        <f>SUM(F24:F32)</f>
        <v>200790800</v>
      </c>
      <c r="G33" s="237">
        <f>SUM(G25:G32)</f>
        <v>0</v>
      </c>
      <c r="H33" s="237">
        <f>SUM(H25:H32)</f>
        <v>0</v>
      </c>
      <c r="I33" s="237"/>
      <c r="J33" s="237">
        <f>SUM(J25:J32)</f>
        <v>0</v>
      </c>
      <c r="K33" s="237">
        <f>SUM(K25:K32)</f>
        <v>0</v>
      </c>
      <c r="L33" s="237">
        <f>SUM(L25:L32)</f>
        <v>0</v>
      </c>
      <c r="M33" s="237"/>
      <c r="N33" s="405"/>
      <c r="O33" s="402">
        <f>+F33+G33</f>
        <v>200790800</v>
      </c>
      <c r="P33" s="398"/>
      <c r="Q33" s="398"/>
      <c r="R33" s="400"/>
      <c r="S33" s="400"/>
    </row>
    <row r="34" spans="1:46" s="480" customFormat="1" ht="22.5" thickBot="1" x14ac:dyDescent="0.55000000000000004">
      <c r="A34" s="238">
        <f>+A22+A33</f>
        <v>8</v>
      </c>
      <c r="B34" s="239"/>
      <c r="C34" s="239"/>
      <c r="D34" s="239"/>
      <c r="E34" s="239" t="s">
        <v>295</v>
      </c>
      <c r="F34" s="299">
        <f>F22+F33</f>
        <v>200790800</v>
      </c>
      <c r="G34" s="240">
        <f>+G22+G33</f>
        <v>0</v>
      </c>
      <c r="H34" s="240">
        <f>+H22+H33</f>
        <v>0</v>
      </c>
      <c r="I34" s="240"/>
      <c r="J34" s="240">
        <f>J22+J33</f>
        <v>0</v>
      </c>
      <c r="K34" s="240">
        <f>K22+K33</f>
        <v>0</v>
      </c>
      <c r="L34" s="240">
        <f>L22+L33</f>
        <v>0</v>
      </c>
      <c r="M34" s="240"/>
      <c r="N34" s="408"/>
      <c r="O34" s="397">
        <f>+O22+O33</f>
        <v>200790800</v>
      </c>
      <c r="P34" s="479"/>
      <c r="Q34" s="479"/>
      <c r="R34" s="399"/>
      <c r="S34" s="399"/>
      <c r="T34" s="12"/>
      <c r="U34" s="12"/>
      <c r="V34" s="12"/>
      <c r="W34" s="12"/>
      <c r="X34" s="12"/>
      <c r="Y34" s="12"/>
      <c r="Z34" s="12"/>
      <c r="AA34" s="12"/>
    </row>
    <row r="35" spans="1:46" s="16" customFormat="1" x14ac:dyDescent="0.2">
      <c r="A35" s="481"/>
      <c r="B35" s="481"/>
      <c r="C35" s="481"/>
      <c r="D35" s="481"/>
      <c r="E35" s="482"/>
      <c r="F35" s="558"/>
      <c r="G35" s="375"/>
      <c r="H35" s="375"/>
      <c r="I35" s="375"/>
      <c r="J35" s="375"/>
      <c r="K35" s="376"/>
      <c r="L35" s="376"/>
      <c r="M35" s="375"/>
      <c r="N35" s="407"/>
      <c r="O35" s="400"/>
      <c r="P35" s="400"/>
      <c r="Q35" s="400"/>
      <c r="R35" s="400"/>
      <c r="S35" s="400"/>
    </row>
    <row r="36" spans="1:46" s="16" customFormat="1" x14ac:dyDescent="0.5">
      <c r="A36" s="481"/>
      <c r="B36" s="481"/>
      <c r="C36" s="481"/>
      <c r="D36" s="481"/>
      <c r="E36" s="482"/>
      <c r="F36" s="32"/>
      <c r="G36" s="375"/>
      <c r="H36" s="375"/>
      <c r="I36" s="375"/>
      <c r="J36" s="375"/>
      <c r="K36" s="376"/>
      <c r="L36" s="376"/>
      <c r="M36" s="375"/>
      <c r="N36" s="407"/>
      <c r="O36" s="400"/>
      <c r="P36" s="400"/>
      <c r="Q36" s="400"/>
      <c r="R36" s="400"/>
      <c r="S36" s="400"/>
    </row>
    <row r="37" spans="1:46" s="16" customFormat="1" x14ac:dyDescent="0.5">
      <c r="A37" s="481"/>
      <c r="B37" s="481"/>
      <c r="C37" s="481"/>
      <c r="D37" s="481"/>
      <c r="E37" s="482"/>
      <c r="F37" s="32"/>
      <c r="G37" s="375"/>
      <c r="H37" s="375"/>
      <c r="I37" s="375"/>
      <c r="J37" s="375"/>
      <c r="K37" s="376"/>
      <c r="L37" s="376"/>
      <c r="M37" s="375"/>
      <c r="N37" s="407"/>
      <c r="O37" s="400"/>
      <c r="P37" s="400"/>
      <c r="Q37" s="400"/>
      <c r="R37" s="400"/>
      <c r="S37" s="400"/>
    </row>
    <row r="39" spans="1:46" s="77" customFormat="1" ht="22.5" thickBot="1" x14ac:dyDescent="0.55000000000000004">
      <c r="A39" s="483"/>
      <c r="B39" s="483"/>
      <c r="C39" s="483"/>
      <c r="D39" s="483"/>
      <c r="E39" s="77" t="s">
        <v>64</v>
      </c>
      <c r="F39" s="78"/>
      <c r="G39" s="229"/>
      <c r="H39" s="119"/>
      <c r="I39" s="119"/>
      <c r="J39" s="119"/>
      <c r="K39" s="484"/>
      <c r="L39" s="484"/>
      <c r="M39" s="119"/>
      <c r="N39" s="465"/>
      <c r="O39" s="399"/>
      <c r="P39" s="399"/>
      <c r="Q39" s="399"/>
      <c r="R39" s="399"/>
      <c r="S39" s="399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</row>
    <row r="40" spans="1:46" s="77" customFormat="1" ht="22.5" thickTop="1" x14ac:dyDescent="0.5">
      <c r="A40" s="483"/>
      <c r="B40" s="483"/>
      <c r="C40" s="483"/>
      <c r="D40" s="483"/>
      <c r="E40" s="77" t="s">
        <v>65</v>
      </c>
      <c r="F40" s="270"/>
      <c r="G40" s="119"/>
      <c r="H40" s="119"/>
      <c r="I40" s="119"/>
      <c r="J40" s="119"/>
      <c r="K40" s="484"/>
      <c r="L40" s="484"/>
      <c r="M40" s="119"/>
      <c r="N40" s="465"/>
      <c r="O40" s="399"/>
      <c r="P40" s="399"/>
      <c r="Q40" s="399"/>
      <c r="R40" s="399"/>
      <c r="S40" s="399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</row>
    <row r="41" spans="1:46" s="77" customFormat="1" x14ac:dyDescent="0.5">
      <c r="A41" s="483"/>
      <c r="B41" s="483"/>
      <c r="C41" s="483"/>
      <c r="D41" s="483"/>
      <c r="E41" s="77" t="s">
        <v>66</v>
      </c>
      <c r="F41" s="270"/>
      <c r="G41" s="119"/>
      <c r="H41" s="119"/>
      <c r="I41" s="119"/>
      <c r="J41" s="119"/>
      <c r="K41" s="484"/>
      <c r="L41" s="484"/>
      <c r="M41" s="119"/>
      <c r="N41" s="465"/>
      <c r="O41" s="399"/>
      <c r="P41" s="399"/>
      <c r="Q41" s="399"/>
      <c r="R41" s="399"/>
      <c r="S41" s="399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</row>
    <row r="42" spans="1:46" s="77" customFormat="1" x14ac:dyDescent="0.5">
      <c r="A42" s="483"/>
      <c r="B42" s="483"/>
      <c r="C42" s="483"/>
      <c r="D42" s="483"/>
      <c r="E42" s="77" t="s">
        <v>67</v>
      </c>
      <c r="F42" s="270"/>
      <c r="G42" s="119"/>
      <c r="H42" s="119"/>
      <c r="I42" s="119"/>
      <c r="J42" s="119"/>
      <c r="K42" s="484"/>
      <c r="L42" s="484"/>
      <c r="M42" s="119"/>
      <c r="N42" s="465"/>
      <c r="O42" s="399"/>
      <c r="P42" s="399"/>
      <c r="Q42" s="399"/>
      <c r="R42" s="399"/>
      <c r="S42" s="399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</row>
  </sheetData>
  <autoFilter ref="N1:N42"/>
  <mergeCells count="20">
    <mergeCell ref="Q5:Q8"/>
    <mergeCell ref="G6:G8"/>
    <mergeCell ref="A5:A8"/>
    <mergeCell ref="P5:P8"/>
    <mergeCell ref="J5:J8"/>
    <mergeCell ref="E5:E8"/>
    <mergeCell ref="D5:D8"/>
    <mergeCell ref="I5:I8"/>
    <mergeCell ref="F5:H5"/>
    <mergeCell ref="H6:H8"/>
    <mergeCell ref="M5:M8"/>
    <mergeCell ref="K5:K8"/>
    <mergeCell ref="L5:L8"/>
    <mergeCell ref="C5:C8"/>
    <mergeCell ref="B5:B8"/>
    <mergeCell ref="F4:G4"/>
    <mergeCell ref="F6:F8"/>
    <mergeCell ref="A1:M1"/>
    <mergeCell ref="A2:M2"/>
    <mergeCell ref="A3:M3"/>
  </mergeCells>
  <phoneticPr fontId="2" type="noConversion"/>
  <conditionalFormatting sqref="F29:F31">
    <cfRule type="cellIs" dxfId="66" priority="4" stopIfTrue="1" operator="between">
      <formula>2000001</formula>
      <formula>500000000</formula>
    </cfRule>
  </conditionalFormatting>
  <conditionalFormatting sqref="F24">
    <cfRule type="cellIs" dxfId="65" priority="3" stopIfTrue="1" operator="between">
      <formula>2000001</formula>
      <formula>500000000</formula>
    </cfRule>
  </conditionalFormatting>
  <conditionalFormatting sqref="F25:F26">
    <cfRule type="cellIs" dxfId="64" priority="2" stopIfTrue="1" operator="between">
      <formula>2000001</formula>
      <formula>500000000</formula>
    </cfRule>
  </conditionalFormatting>
  <conditionalFormatting sqref="F27:F28">
    <cfRule type="cellIs" dxfId="63" priority="1" stopIfTrue="1" operator="between">
      <formula>2000001</formula>
      <formula>500000000</formula>
    </cfRule>
  </conditionalFormatting>
  <pageMargins left="0.70866141732283472" right="0.6692913385826772" top="0.47244094488188981" bottom="0.31496062992125984" header="0.51181102362204722" footer="0.51181102362204722"/>
  <pageSetup paperSize="9" scale="85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90"/>
  <sheetViews>
    <sheetView topLeftCell="A31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5703125" style="486" customWidth="1"/>
    <col min="4" max="4" width="6.5703125" style="486" customWidth="1"/>
    <col min="5" max="5" width="43" style="460" customWidth="1"/>
    <col min="6" max="6" width="14.85546875" style="559" customWidth="1"/>
    <col min="7" max="7" width="13" style="488" customWidth="1"/>
    <col min="8" max="8" width="13" style="488" hidden="1" customWidth="1"/>
    <col min="9" max="9" width="30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0.140625" style="488" customWidth="1"/>
    <col min="14" max="14" width="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47</v>
      </c>
      <c r="Q2" s="397" t="e">
        <f>+F15+F16+F17+F18+F19+F20+F21+F22+F23+F24+#REF!+F25+#REF!+#REF!+#REF!+#REF!+#REF!+#REF!+F26+F27+#REF!+F28+#REF!+#REF!+#REF!+#REF!+#REF!+#REF!+F29+#REF!+#REF!+#REF!+F30+#REF!+#REF!+#REF!+F31+#REF!+#REF!+#REF!+#REF!+#REF!+#REF!+#REF!+#REF!+#REF!+F36</f>
        <v>#REF!</v>
      </c>
      <c r="R2" s="523">
        <v>34</v>
      </c>
      <c r="S2" s="397" t="e">
        <f>+#REF!+#REF!+F40+#REF!+#REF!+F49+F50+F51+F52+F53+F54+F55+F56+F57+F58+F59+F60+F61+F62+F63+F64+F65+#REF!+F66+#REF!+F71+F72+F73+F74+F75+F76+F77+#REF!+F79</f>
        <v>#REF!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12</v>
      </c>
      <c r="Q3" s="462" t="e">
        <f>+F11+#REF!+F12+F13+F14+#REF!+F32+F33+F34+F35+#REF!+#REF!</f>
        <v>#REF!</v>
      </c>
      <c r="R3" s="463">
        <v>18</v>
      </c>
      <c r="S3" s="462" t="e">
        <f>+F41+#REF!+F42+#REF!+F43+F44+F45+F46+F47+F48+F67+F68+F69+F70+#REF!+F78+#REF!+F80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7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7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7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7"/>
      <c r="P8" s="642"/>
      <c r="Q8" s="642"/>
    </row>
    <row r="9" spans="1:38" x14ac:dyDescent="0.5">
      <c r="A9" s="10"/>
      <c r="B9" s="10"/>
      <c r="C9" s="10"/>
      <c r="D9" s="10"/>
      <c r="E9" s="29" t="s">
        <v>296</v>
      </c>
      <c r="F9" s="10"/>
      <c r="G9" s="100"/>
      <c r="H9" s="100"/>
      <c r="I9" s="100"/>
      <c r="J9" s="100"/>
      <c r="K9" s="468"/>
      <c r="L9" s="468"/>
      <c r="M9" s="100"/>
      <c r="N9" s="407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87" x14ac:dyDescent="0.2">
      <c r="A11" s="424">
        <v>1</v>
      </c>
      <c r="B11" s="424"/>
      <c r="C11" s="568" t="s">
        <v>297</v>
      </c>
      <c r="D11" s="425"/>
      <c r="E11" s="470" t="s">
        <v>298</v>
      </c>
      <c r="F11" s="471">
        <v>15816000</v>
      </c>
      <c r="G11" s="426"/>
      <c r="H11" s="426"/>
      <c r="I11" s="495" t="str">
        <f>+[16]ตชด.!I11</f>
        <v xml:space="preserve">อยู่ระหว่ากำหนดคุณลักษณะเฉพาะในการจัดหา </v>
      </c>
      <c r="J11" s="31"/>
      <c r="K11" s="15"/>
      <c r="L11" s="15"/>
      <c r="M11" s="495" t="str">
        <f>+[16]ตชด.!M11</f>
        <v> อยู่ระหว่ากำหนดคุณลักษณะเฉพาะในการจัดหา </v>
      </c>
      <c r="N11" s="407">
        <v>2</v>
      </c>
      <c r="O11" s="400"/>
      <c r="P11" s="400"/>
      <c r="Q11" s="400"/>
      <c r="R11" s="400"/>
      <c r="S11" s="400"/>
    </row>
    <row r="12" spans="1:38" s="16" customFormat="1" ht="65.25" x14ac:dyDescent="0.2">
      <c r="A12" s="424">
        <v>2</v>
      </c>
      <c r="B12" s="424"/>
      <c r="C12" s="568" t="s">
        <v>297</v>
      </c>
      <c r="D12" s="425"/>
      <c r="E12" s="470" t="s">
        <v>299</v>
      </c>
      <c r="F12" s="471">
        <v>17000000</v>
      </c>
      <c r="G12" s="426"/>
      <c r="H12" s="426"/>
      <c r="I12" s="495" t="str">
        <f>+[16]ตชด.!I12</f>
        <v xml:space="preserve">อยู่ระหว่ากำหนดคุณลักษณะเฉพาะในการจัดหา </v>
      </c>
      <c r="J12" s="31"/>
      <c r="K12" s="15"/>
      <c r="L12" s="15"/>
      <c r="M12" s="495" t="str">
        <f>+[16]ตชด.!M12</f>
        <v>อยู่ระหว่ากำหนดคุณลักษณะเฉพาะในการจัดหา</v>
      </c>
      <c r="N12" s="407">
        <v>2</v>
      </c>
      <c r="O12" s="400"/>
      <c r="P12" s="400"/>
      <c r="Q12" s="400"/>
      <c r="R12" s="400"/>
      <c r="S12" s="400"/>
    </row>
    <row r="13" spans="1:38" s="16" customFormat="1" ht="80.25" customHeight="1" x14ac:dyDescent="0.2">
      <c r="A13" s="424">
        <v>3</v>
      </c>
      <c r="B13" s="425"/>
      <c r="C13" s="425" t="s">
        <v>300</v>
      </c>
      <c r="D13" s="425" t="s">
        <v>296</v>
      </c>
      <c r="E13" s="470" t="s">
        <v>301</v>
      </c>
      <c r="F13" s="471">
        <v>8000000</v>
      </c>
      <c r="G13" s="426"/>
      <c r="H13" s="426"/>
      <c r="I13" s="495" t="str">
        <f>+[16]ตชด.!I13</f>
        <v xml:space="preserve">อยู่ระหว่ากำหนดคุณลักษณะเฉพาะในการจัดหา </v>
      </c>
      <c r="J13" s="31"/>
      <c r="K13" s="15"/>
      <c r="L13" s="15"/>
      <c r="M13" s="495" t="str">
        <f>+[16]ตชด.!M13</f>
        <v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v>
      </c>
      <c r="N13" s="407">
        <v>2</v>
      </c>
      <c r="O13" s="400"/>
      <c r="P13" s="400"/>
      <c r="Q13" s="400"/>
      <c r="R13" s="400"/>
      <c r="S13" s="400"/>
    </row>
    <row r="14" spans="1:38" s="16" customFormat="1" ht="80.25" customHeight="1" x14ac:dyDescent="0.2">
      <c r="A14" s="424">
        <v>4</v>
      </c>
      <c r="B14" s="425"/>
      <c r="C14" s="425" t="s">
        <v>300</v>
      </c>
      <c r="D14" s="425" t="s">
        <v>296</v>
      </c>
      <c r="E14" s="470" t="s">
        <v>302</v>
      </c>
      <c r="F14" s="471">
        <v>11000000</v>
      </c>
      <c r="G14" s="426"/>
      <c r="H14" s="426"/>
      <c r="I14" s="495" t="str">
        <f>+[16]ตชด.!I14</f>
        <v xml:space="preserve">อยู่ระหว่ากำหนดคุณลักษณะเฉพาะในการจัดหา </v>
      </c>
      <c r="J14" s="31"/>
      <c r="K14" s="15"/>
      <c r="L14" s="15"/>
      <c r="M14" s="495" t="str">
        <f>+[16]ตชด.!M14</f>
        <v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v>
      </c>
      <c r="N14" s="407">
        <v>2</v>
      </c>
      <c r="O14" s="400"/>
      <c r="P14" s="400"/>
      <c r="Q14" s="400"/>
      <c r="R14" s="400"/>
      <c r="S14" s="400"/>
    </row>
    <row r="15" spans="1:38" s="16" customFormat="1" ht="56.25" x14ac:dyDescent="0.2">
      <c r="A15" s="14">
        <v>5</v>
      </c>
      <c r="B15" s="261"/>
      <c r="C15" s="569" t="s">
        <v>303</v>
      </c>
      <c r="D15" s="261" t="s">
        <v>296</v>
      </c>
      <c r="E15" s="473" t="s">
        <v>304</v>
      </c>
      <c r="F15" s="474">
        <v>330000</v>
      </c>
      <c r="G15" s="281"/>
      <c r="H15" s="281"/>
      <c r="I15" s="499" t="str">
        <f>+[16]ตชด.!I15</f>
        <v>อยู่ระหว่างดำเนินการจัดหา</v>
      </c>
      <c r="J15" s="31"/>
      <c r="K15" s="15"/>
      <c r="L15" s="15"/>
      <c r="M15" s="499" t="str">
        <f>+[16]ตชด.!M15</f>
        <v>รอลงนามในสัญญา</v>
      </c>
      <c r="N15" s="407">
        <v>1</v>
      </c>
      <c r="O15" s="400"/>
      <c r="P15" s="400"/>
      <c r="Q15" s="400"/>
      <c r="R15" s="400"/>
      <c r="S15" s="400"/>
    </row>
    <row r="16" spans="1:38" s="16" customFormat="1" ht="56.25" x14ac:dyDescent="0.2">
      <c r="A16" s="14">
        <v>6</v>
      </c>
      <c r="B16" s="261"/>
      <c r="C16" s="569" t="s">
        <v>303</v>
      </c>
      <c r="D16" s="261" t="s">
        <v>296</v>
      </c>
      <c r="E16" s="473" t="s">
        <v>305</v>
      </c>
      <c r="F16" s="474">
        <v>207000</v>
      </c>
      <c r="G16" s="281"/>
      <c r="H16" s="281"/>
      <c r="I16" s="499" t="str">
        <f>+[16]ตชด.!I16</f>
        <v>อยู่ระหว่างดำเนินการจัดหา</v>
      </c>
      <c r="J16" s="31"/>
      <c r="K16" s="15"/>
      <c r="L16" s="15"/>
      <c r="M16" s="499" t="str">
        <f>+[16]ตชด.!M16</f>
        <v>รอลงนามในสัญญา</v>
      </c>
      <c r="N16" s="407">
        <v>1</v>
      </c>
      <c r="O16" s="400"/>
      <c r="P16" s="400"/>
      <c r="Q16" s="400"/>
      <c r="R16" s="400"/>
      <c r="S16" s="400"/>
    </row>
    <row r="17" spans="1:19" s="16" customFormat="1" ht="56.25" x14ac:dyDescent="0.2">
      <c r="A17" s="14">
        <v>7</v>
      </c>
      <c r="B17" s="261"/>
      <c r="C17" s="569" t="s">
        <v>303</v>
      </c>
      <c r="D17" s="261" t="s">
        <v>296</v>
      </c>
      <c r="E17" s="473" t="s">
        <v>306</v>
      </c>
      <c r="F17" s="474">
        <v>180000</v>
      </c>
      <c r="G17" s="281"/>
      <c r="H17" s="281"/>
      <c r="I17" s="499" t="str">
        <f>+[16]ตชด.!I17</f>
        <v>อยู่ระหว่างดำเนินการจัดหา</v>
      </c>
      <c r="J17" s="31"/>
      <c r="K17" s="15"/>
      <c r="L17" s="15"/>
      <c r="M17" s="499" t="str">
        <f>+[16]ตชด.!M17</f>
        <v>รอลงนามในสัญญา</v>
      </c>
      <c r="N17" s="407">
        <v>1</v>
      </c>
      <c r="O17" s="400"/>
      <c r="P17" s="400"/>
      <c r="Q17" s="400"/>
      <c r="R17" s="400"/>
      <c r="S17" s="400"/>
    </row>
    <row r="18" spans="1:19" s="16" customFormat="1" ht="56.25" x14ac:dyDescent="0.2">
      <c r="A18" s="14">
        <v>8</v>
      </c>
      <c r="B18" s="261"/>
      <c r="C18" s="569" t="s">
        <v>303</v>
      </c>
      <c r="D18" s="261" t="s">
        <v>296</v>
      </c>
      <c r="E18" s="473" t="s">
        <v>307</v>
      </c>
      <c r="F18" s="474">
        <v>918000</v>
      </c>
      <c r="G18" s="281"/>
      <c r="H18" s="281"/>
      <c r="I18" s="499">
        <f>+[16]ตชด.!I18</f>
        <v>0</v>
      </c>
      <c r="J18" s="31"/>
      <c r="K18" s="15"/>
      <c r="L18" s="15"/>
      <c r="M18" s="499" t="str">
        <f>+[16]ตชด.!M18</f>
        <v>อยู่ระหว่างประกาศสอบราคา กำหนดเปิดซอง 1 ธ.ค. 58</v>
      </c>
      <c r="N18" s="407">
        <v>1</v>
      </c>
      <c r="O18" s="400"/>
      <c r="P18" s="400"/>
      <c r="Q18" s="400"/>
      <c r="R18" s="400"/>
      <c r="S18" s="400"/>
    </row>
    <row r="19" spans="1:19" s="16" customFormat="1" ht="65.25" x14ac:dyDescent="0.2">
      <c r="A19" s="14">
        <v>9</v>
      </c>
      <c r="B19" s="261"/>
      <c r="C19" s="569" t="s">
        <v>308</v>
      </c>
      <c r="D19" s="261" t="s">
        <v>296</v>
      </c>
      <c r="E19" s="473" t="s">
        <v>309</v>
      </c>
      <c r="F19" s="474">
        <v>896000</v>
      </c>
      <c r="G19" s="281"/>
      <c r="H19" s="281"/>
      <c r="I19" s="499" t="str">
        <f>+[16]ตชด.!I19</f>
        <v>อยู่ระหว่างดำเนินการจัดหา</v>
      </c>
      <c r="J19" s="31"/>
      <c r="K19" s="15"/>
      <c r="L19" s="15"/>
      <c r="M19" s="499" t="str">
        <f>+[16]ตชด.!M19</f>
        <v>  รอลงนามในสัญญา   </v>
      </c>
      <c r="N19" s="407">
        <v>1</v>
      </c>
      <c r="O19" s="400"/>
      <c r="P19" s="400"/>
      <c r="Q19" s="400"/>
      <c r="R19" s="400"/>
      <c r="S19" s="400"/>
    </row>
    <row r="20" spans="1:19" s="16" customFormat="1" ht="65.25" x14ac:dyDescent="0.2">
      <c r="A20" s="14">
        <v>10</v>
      </c>
      <c r="B20" s="261"/>
      <c r="C20" s="569" t="s">
        <v>308</v>
      </c>
      <c r="D20" s="261" t="s">
        <v>296</v>
      </c>
      <c r="E20" s="473" t="s">
        <v>310</v>
      </c>
      <c r="F20" s="474">
        <v>896000</v>
      </c>
      <c r="G20" s="281"/>
      <c r="H20" s="281"/>
      <c r="I20" s="499" t="str">
        <f>+[16]ตชด.!I20</f>
        <v>อยู่ระหว่างดำเนินการจัดหา</v>
      </c>
      <c r="J20" s="31"/>
      <c r="K20" s="15"/>
      <c r="L20" s="15"/>
      <c r="M20" s="499" t="str">
        <f>+[16]ตชด.!M20</f>
        <v xml:space="preserve"> รอลงนามในสัญญา </v>
      </c>
      <c r="N20" s="407">
        <v>1</v>
      </c>
      <c r="O20" s="400"/>
      <c r="P20" s="400"/>
      <c r="Q20" s="400"/>
      <c r="R20" s="400"/>
      <c r="S20" s="400"/>
    </row>
    <row r="21" spans="1:19" s="16" customFormat="1" ht="65.25" x14ac:dyDescent="0.2">
      <c r="A21" s="14">
        <v>11</v>
      </c>
      <c r="B21" s="261"/>
      <c r="C21" s="569" t="s">
        <v>308</v>
      </c>
      <c r="D21" s="261" t="s">
        <v>296</v>
      </c>
      <c r="E21" s="473" t="s">
        <v>311</v>
      </c>
      <c r="F21" s="474">
        <v>896000</v>
      </c>
      <c r="G21" s="281"/>
      <c r="H21" s="281"/>
      <c r="I21" s="499" t="str">
        <f>+[16]ตชด.!I21</f>
        <v>อยู่ระหว่างดำเนินการจัดหา</v>
      </c>
      <c r="J21" s="31"/>
      <c r="K21" s="15"/>
      <c r="L21" s="15"/>
      <c r="M21" s="499" t="str">
        <f>+[16]ตชด.!M21</f>
        <v xml:space="preserve"> ลงนามในสัญญา 25 พ.ย. 58</v>
      </c>
      <c r="N21" s="407">
        <v>1</v>
      </c>
      <c r="O21" s="400"/>
      <c r="P21" s="400"/>
      <c r="Q21" s="400"/>
      <c r="R21" s="400"/>
      <c r="S21" s="400"/>
    </row>
    <row r="22" spans="1:19" s="16" customFormat="1" ht="65.25" x14ac:dyDescent="0.2">
      <c r="A22" s="14">
        <v>12</v>
      </c>
      <c r="B22" s="261"/>
      <c r="C22" s="569" t="s">
        <v>308</v>
      </c>
      <c r="D22" s="261" t="s">
        <v>296</v>
      </c>
      <c r="E22" s="473" t="s">
        <v>312</v>
      </c>
      <c r="F22" s="474">
        <v>896000</v>
      </c>
      <c r="G22" s="281"/>
      <c r="H22" s="281"/>
      <c r="I22" s="499" t="str">
        <f>+[16]ตชด.!I22</f>
        <v>อยู่ระหว่างดำเนินการจัดหา</v>
      </c>
      <c r="J22" s="31"/>
      <c r="K22" s="15"/>
      <c r="L22" s="15"/>
      <c r="M22" s="499" t="str">
        <f>+[16]ตชด.!M22</f>
        <v>เปิดซองเสนอราคาครั้งที่ 2 เมื่อ 25 พ.ย 58</v>
      </c>
      <c r="N22" s="407">
        <v>1</v>
      </c>
      <c r="O22" s="400"/>
      <c r="P22" s="400"/>
      <c r="Q22" s="400"/>
      <c r="R22" s="400"/>
      <c r="S22" s="400"/>
    </row>
    <row r="23" spans="1:19" s="16" customFormat="1" ht="65.25" x14ac:dyDescent="0.2">
      <c r="A23" s="14">
        <v>13</v>
      </c>
      <c r="B23" s="261"/>
      <c r="C23" s="569" t="s">
        <v>308</v>
      </c>
      <c r="D23" s="261" t="s">
        <v>296</v>
      </c>
      <c r="E23" s="473" t="s">
        <v>313</v>
      </c>
      <c r="F23" s="474">
        <v>896000</v>
      </c>
      <c r="G23" s="281"/>
      <c r="H23" s="281"/>
      <c r="I23" s="499">
        <f>+[16]ตชด.!I23</f>
        <v>0</v>
      </c>
      <c r="J23" s="31"/>
      <c r="K23" s="15"/>
      <c r="L23" s="15"/>
      <c r="M23" s="499" t="str">
        <f>+[16]ตชด.!M23</f>
        <v>เสนอราคา 2 ธ.ค. 58</v>
      </c>
      <c r="N23" s="407">
        <v>1</v>
      </c>
      <c r="O23" s="400"/>
      <c r="P23" s="400"/>
      <c r="Q23" s="400"/>
      <c r="R23" s="400"/>
      <c r="S23" s="400"/>
    </row>
    <row r="24" spans="1:19" s="16" customFormat="1" ht="65.25" x14ac:dyDescent="0.2">
      <c r="A24" s="14">
        <v>14</v>
      </c>
      <c r="B24" s="261"/>
      <c r="C24" s="569" t="s">
        <v>308</v>
      </c>
      <c r="D24" s="261" t="s">
        <v>296</v>
      </c>
      <c r="E24" s="473" t="s">
        <v>314</v>
      </c>
      <c r="F24" s="474">
        <v>896000</v>
      </c>
      <c r="G24" s="281"/>
      <c r="H24" s="281"/>
      <c r="I24" s="499" t="str">
        <f>+[16]ตชด.!I24</f>
        <v>อยู่ระหว่างดำเนินการจัดหา</v>
      </c>
      <c r="J24" s="31"/>
      <c r="K24" s="15"/>
      <c r="L24" s="15"/>
      <c r="M24" s="499" t="str">
        <f>+[16]ตชด.!M24</f>
        <v>รอลงนามในสัญญา</v>
      </c>
      <c r="N24" s="407">
        <v>1</v>
      </c>
      <c r="O24" s="400"/>
      <c r="P24" s="400"/>
      <c r="Q24" s="400"/>
      <c r="R24" s="400"/>
      <c r="S24" s="400"/>
    </row>
    <row r="25" spans="1:19" s="16" customFormat="1" ht="65.25" x14ac:dyDescent="0.2">
      <c r="A25" s="14">
        <v>15</v>
      </c>
      <c r="B25" s="261"/>
      <c r="C25" s="569" t="s">
        <v>308</v>
      </c>
      <c r="D25" s="261" t="s">
        <v>296</v>
      </c>
      <c r="E25" s="473" t="s">
        <v>315</v>
      </c>
      <c r="F25" s="474">
        <v>896000</v>
      </c>
      <c r="G25" s="281"/>
      <c r="H25" s="281"/>
      <c r="I25" s="499" t="str">
        <f>+[16]ตชด.!I25</f>
        <v>รอลงนามในสัญญา</v>
      </c>
      <c r="J25" s="31"/>
      <c r="K25" s="15"/>
      <c r="L25" s="15"/>
      <c r="M25" s="499" t="str">
        <f>+[16]ตชด.!M25</f>
        <v>PO = 859,000 บาท</v>
      </c>
      <c r="N25" s="407">
        <v>1</v>
      </c>
      <c r="O25" s="400"/>
      <c r="P25" s="400"/>
      <c r="Q25" s="400"/>
      <c r="R25" s="400"/>
      <c r="S25" s="400"/>
    </row>
    <row r="26" spans="1:19" s="16" customFormat="1" ht="43.5" x14ac:dyDescent="0.2">
      <c r="A26" s="14">
        <v>16</v>
      </c>
      <c r="B26" s="261"/>
      <c r="C26" s="569" t="s">
        <v>308</v>
      </c>
      <c r="D26" s="261" t="s">
        <v>296</v>
      </c>
      <c r="E26" s="473" t="s">
        <v>316</v>
      </c>
      <c r="F26" s="474">
        <v>896000</v>
      </c>
      <c r="G26" s="281"/>
      <c r="H26" s="281"/>
      <c r="I26" s="499" t="str">
        <f>+[16]ตชด.!I26</f>
        <v>อยู่ระหว่างดำเนินการจัดหา</v>
      </c>
      <c r="J26" s="31"/>
      <c r="K26" s="15"/>
      <c r="L26" s="15"/>
      <c r="M26" s="499" t="str">
        <f>+[16]ตชด.!M26</f>
        <v>รอลงนามในสัญญา</v>
      </c>
      <c r="N26" s="407">
        <v>1</v>
      </c>
      <c r="O26" s="400"/>
      <c r="P26" s="400"/>
      <c r="Q26" s="400"/>
      <c r="R26" s="400"/>
      <c r="S26" s="400"/>
    </row>
    <row r="27" spans="1:19" s="16" customFormat="1" ht="65.25" x14ac:dyDescent="0.2">
      <c r="A27" s="14">
        <v>17</v>
      </c>
      <c r="B27" s="261"/>
      <c r="C27" s="569" t="s">
        <v>308</v>
      </c>
      <c r="D27" s="261" t="s">
        <v>296</v>
      </c>
      <c r="E27" s="473" t="s">
        <v>317</v>
      </c>
      <c r="F27" s="474">
        <v>821000</v>
      </c>
      <c r="G27" s="281"/>
      <c r="H27" s="281"/>
      <c r="I27" s="499" t="str">
        <f>+[16]ตชด.!I27</f>
        <v>อยู่ระหว่างดำเนินการจัดหา</v>
      </c>
      <c r="J27" s="31"/>
      <c r="K27" s="15"/>
      <c r="L27" s="15"/>
      <c r="M27" s="499" t="str">
        <f>+[16]ตชด.!M27</f>
        <v>อยู่ระหว่างขออนุมัติจัดหา</v>
      </c>
      <c r="N27" s="407">
        <v>1</v>
      </c>
      <c r="O27" s="400"/>
      <c r="P27" s="400"/>
      <c r="Q27" s="400"/>
      <c r="R27" s="400"/>
      <c r="S27" s="400"/>
    </row>
    <row r="28" spans="1:19" s="16" customFormat="1" ht="65.25" x14ac:dyDescent="0.2">
      <c r="A28" s="14">
        <v>18</v>
      </c>
      <c r="B28" s="261"/>
      <c r="C28" s="569" t="s">
        <v>308</v>
      </c>
      <c r="D28" s="261" t="s">
        <v>296</v>
      </c>
      <c r="E28" s="473" t="s">
        <v>318</v>
      </c>
      <c r="F28" s="474">
        <v>821000</v>
      </c>
      <c r="G28" s="281"/>
      <c r="H28" s="281"/>
      <c r="I28" s="499" t="str">
        <f>+[16]ตชด.!I28</f>
        <v>อยู่ระหว่างดำเนินการจัดหา</v>
      </c>
      <c r="J28" s="31"/>
      <c r="K28" s="15"/>
      <c r="L28" s="15"/>
      <c r="M28" s="499" t="str">
        <f>+[16]ตชด.!M28</f>
        <v> รอลงนามในสัญญา  30 พ.ย. 58</v>
      </c>
      <c r="N28" s="407">
        <v>1</v>
      </c>
      <c r="O28" s="400"/>
      <c r="P28" s="400"/>
      <c r="Q28" s="400"/>
      <c r="R28" s="400"/>
      <c r="S28" s="400"/>
    </row>
    <row r="29" spans="1:19" s="16" customFormat="1" ht="65.25" x14ac:dyDescent="0.2">
      <c r="A29" s="14">
        <v>19</v>
      </c>
      <c r="B29" s="261"/>
      <c r="C29" s="569" t="s">
        <v>308</v>
      </c>
      <c r="D29" s="261" t="s">
        <v>296</v>
      </c>
      <c r="E29" s="473" t="s">
        <v>319</v>
      </c>
      <c r="F29" s="474">
        <v>787000</v>
      </c>
      <c r="G29" s="281"/>
      <c r="H29" s="281"/>
      <c r="I29" s="499" t="str">
        <f>+[16]ตชด.!I29</f>
        <v>รอลงนามในสัญญา</v>
      </c>
      <c r="J29" s="31"/>
      <c r="K29" s="15"/>
      <c r="L29" s="15"/>
      <c r="M29" s="499" t="str">
        <f>+[16]ตชด.!M29</f>
        <v xml:space="preserve">PO = 785,000 บาท   </v>
      </c>
      <c r="N29" s="407">
        <v>1</v>
      </c>
      <c r="O29" s="400"/>
      <c r="P29" s="400"/>
      <c r="Q29" s="400"/>
      <c r="R29" s="400"/>
      <c r="S29" s="400"/>
    </row>
    <row r="30" spans="1:19" s="16" customFormat="1" ht="65.25" x14ac:dyDescent="0.2">
      <c r="A30" s="14">
        <v>20</v>
      </c>
      <c r="B30" s="261"/>
      <c r="C30" s="569" t="s">
        <v>308</v>
      </c>
      <c r="D30" s="261" t="s">
        <v>296</v>
      </c>
      <c r="E30" s="473" t="s">
        <v>320</v>
      </c>
      <c r="F30" s="474">
        <v>787000</v>
      </c>
      <c r="G30" s="281"/>
      <c r="H30" s="281"/>
      <c r="I30" s="499" t="str">
        <f>+[16]ตชด.!I30</f>
        <v>อยู่ระหว่างดำเนินการจัดหา</v>
      </c>
      <c r="J30" s="31"/>
      <c r="K30" s="15"/>
      <c r="L30" s="15"/>
      <c r="M30" s="499" t="str">
        <f>+[16]ตชด.!M30</f>
        <v>รอลงนามในสัญญา</v>
      </c>
      <c r="N30" s="407">
        <v>1</v>
      </c>
      <c r="O30" s="400"/>
      <c r="P30" s="400"/>
      <c r="Q30" s="400"/>
      <c r="R30" s="400"/>
      <c r="S30" s="400"/>
    </row>
    <row r="31" spans="1:19" s="16" customFormat="1" ht="65.25" x14ac:dyDescent="0.2">
      <c r="A31" s="14">
        <v>21</v>
      </c>
      <c r="B31" s="261"/>
      <c r="C31" s="569" t="s">
        <v>308</v>
      </c>
      <c r="D31" s="261" t="s">
        <v>296</v>
      </c>
      <c r="E31" s="473" t="s">
        <v>321</v>
      </c>
      <c r="F31" s="474">
        <v>787000</v>
      </c>
      <c r="G31" s="281"/>
      <c r="H31" s="281"/>
      <c r="I31" s="499" t="str">
        <f>+[16]ตชด.!I31</f>
        <v>รอลงนามในสัญญา</v>
      </c>
      <c r="J31" s="31"/>
      <c r="K31" s="15"/>
      <c r="L31" s="15"/>
      <c r="M31" s="499" t="str">
        <f>+[16]ตชด.!M31</f>
        <v xml:space="preserve">PO = 785,000 บาท  </v>
      </c>
      <c r="N31" s="407">
        <v>1</v>
      </c>
      <c r="O31" s="400"/>
      <c r="P31" s="400"/>
      <c r="Q31" s="400"/>
      <c r="R31" s="400"/>
      <c r="S31" s="400"/>
    </row>
    <row r="32" spans="1:19" s="16" customFormat="1" ht="43.5" x14ac:dyDescent="0.2">
      <c r="A32" s="424">
        <v>22</v>
      </c>
      <c r="B32" s="425"/>
      <c r="C32" s="568" t="s">
        <v>308</v>
      </c>
      <c r="D32" s="425" t="s">
        <v>296</v>
      </c>
      <c r="E32" s="470" t="s">
        <v>322</v>
      </c>
      <c r="F32" s="471">
        <v>2119000</v>
      </c>
      <c r="G32" s="426"/>
      <c r="H32" s="426"/>
      <c r="I32" s="495" t="str">
        <f>+[16]ตชด.!I32</f>
        <v>อยู่ระหว่างดำเนินการจัดหา</v>
      </c>
      <c r="J32" s="31"/>
      <c r="K32" s="15"/>
      <c r="L32" s="15"/>
      <c r="M32" s="495" t="str">
        <f>+[16]ตชด.!M32</f>
        <v>อยู่ระหว่างพิจารณาคุณสมบัติผู้ขาย</v>
      </c>
      <c r="N32" s="407">
        <v>2</v>
      </c>
      <c r="O32" s="400"/>
      <c r="P32" s="400"/>
      <c r="Q32" s="400"/>
      <c r="R32" s="400"/>
      <c r="S32" s="400"/>
    </row>
    <row r="33" spans="1:19" s="16" customFormat="1" ht="43.5" x14ac:dyDescent="0.2">
      <c r="A33" s="424">
        <v>23</v>
      </c>
      <c r="B33" s="425"/>
      <c r="C33" s="568" t="s">
        <v>308</v>
      </c>
      <c r="D33" s="425" t="s">
        <v>296</v>
      </c>
      <c r="E33" s="470" t="s">
        <v>323</v>
      </c>
      <c r="F33" s="471">
        <v>2119000</v>
      </c>
      <c r="G33" s="426"/>
      <c r="H33" s="426"/>
      <c r="I33" s="495" t="str">
        <f>+[16]ตชด.!I33</f>
        <v>อยู่ระหว่างดำเนินการจัดหา</v>
      </c>
      <c r="J33" s="31"/>
      <c r="K33" s="15"/>
      <c r="L33" s="15"/>
      <c r="M33" s="495" t="str">
        <f>+[16]ตชด.!M33</f>
        <v> ลงนามในสัญญา 10 พ.ย. 58  (2,100,000 บาท) </v>
      </c>
      <c r="N33" s="407">
        <v>2</v>
      </c>
      <c r="O33" s="400"/>
      <c r="P33" s="400"/>
      <c r="Q33" s="400"/>
      <c r="R33" s="400"/>
      <c r="S33" s="400"/>
    </row>
    <row r="34" spans="1:19" s="16" customFormat="1" ht="43.5" x14ac:dyDescent="0.2">
      <c r="A34" s="424">
        <v>24</v>
      </c>
      <c r="B34" s="425"/>
      <c r="C34" s="568" t="s">
        <v>308</v>
      </c>
      <c r="D34" s="425" t="s">
        <v>296</v>
      </c>
      <c r="E34" s="470" t="s">
        <v>324</v>
      </c>
      <c r="F34" s="471">
        <v>2119000</v>
      </c>
      <c r="G34" s="426"/>
      <c r="H34" s="426"/>
      <c r="I34" s="495" t="str">
        <f>+[16]ตชด.!I34</f>
        <v>อยู่ระหว่างดำเนินการจัดหา</v>
      </c>
      <c r="J34" s="31"/>
      <c r="K34" s="15"/>
      <c r="L34" s="15"/>
      <c r="M34" s="495" t="str">
        <f>+[16]ตชด.!M34</f>
        <v xml:space="preserve">รอลงนามในสัญญา 30 พ.ย. 58  (2,118,000 บาท) </v>
      </c>
      <c r="N34" s="407">
        <v>2</v>
      </c>
      <c r="O34" s="400"/>
      <c r="P34" s="400"/>
      <c r="Q34" s="400"/>
      <c r="R34" s="400"/>
      <c r="S34" s="400"/>
    </row>
    <row r="35" spans="1:19" s="16" customFormat="1" ht="65.25" x14ac:dyDescent="0.2">
      <c r="A35" s="424">
        <v>25</v>
      </c>
      <c r="B35" s="425"/>
      <c r="C35" s="568" t="s">
        <v>308</v>
      </c>
      <c r="D35" s="425" t="s">
        <v>296</v>
      </c>
      <c r="E35" s="470" t="s">
        <v>325</v>
      </c>
      <c r="F35" s="471">
        <v>2119000</v>
      </c>
      <c r="G35" s="426"/>
      <c r="H35" s="426"/>
      <c r="I35" s="495" t="str">
        <f>+[16]ตชด.!I35</f>
        <v>อยู่ระหว่างดำเนินการจัดหา</v>
      </c>
      <c r="J35" s="31"/>
      <c r="K35" s="15"/>
      <c r="L35" s="15"/>
      <c r="M35" s="495" t="str">
        <f>+[16]ตชด.!M35</f>
        <v>อยู่ระหว่างการดำเนินการประกวดราคาอิเล็ก-ทรอนิกส์ (e-bidding) ครั้งที่ 2</v>
      </c>
      <c r="N35" s="407">
        <v>2</v>
      </c>
      <c r="O35" s="400"/>
      <c r="P35" s="400"/>
      <c r="Q35" s="400"/>
      <c r="R35" s="400"/>
      <c r="S35" s="400"/>
    </row>
    <row r="36" spans="1:19" s="16" customFormat="1" ht="43.5" x14ac:dyDescent="0.2">
      <c r="A36" s="14">
        <v>26</v>
      </c>
      <c r="B36" s="261"/>
      <c r="C36" s="569" t="s">
        <v>308</v>
      </c>
      <c r="D36" s="261" t="s">
        <v>296</v>
      </c>
      <c r="E36" s="473" t="s">
        <v>326</v>
      </c>
      <c r="F36" s="474">
        <v>1088000</v>
      </c>
      <c r="G36" s="281"/>
      <c r="H36" s="281"/>
      <c r="I36" s="499">
        <f>+[16]ตชด.!I36</f>
        <v>0</v>
      </c>
      <c r="J36" s="31"/>
      <c r="K36" s="15"/>
      <c r="L36" s="15"/>
      <c r="M36" s="499" t="str">
        <f>+[16]ตชด.!M36</f>
        <v>โอนงบประมาณให้ ทบ. จัดหา (เบิกแทนกัน)</v>
      </c>
      <c r="N36" s="407">
        <v>1</v>
      </c>
      <c r="O36" s="400"/>
      <c r="P36" s="400"/>
      <c r="Q36" s="400"/>
      <c r="R36" s="400"/>
      <c r="S36" s="400"/>
    </row>
    <row r="37" spans="1:19" s="16" customFormat="1" x14ac:dyDescent="0.2">
      <c r="A37" s="14"/>
      <c r="B37" s="476"/>
      <c r="C37" s="476"/>
      <c r="D37" s="476"/>
      <c r="E37" s="477"/>
      <c r="F37" s="478"/>
      <c r="G37" s="31"/>
      <c r="H37" s="31"/>
      <c r="I37" s="31"/>
      <c r="J37" s="31"/>
      <c r="K37" s="15"/>
      <c r="L37" s="15"/>
      <c r="M37" s="31"/>
      <c r="N37" s="407"/>
      <c r="O37" s="400"/>
      <c r="P37" s="400"/>
      <c r="Q37" s="400"/>
      <c r="R37" s="400"/>
      <c r="S37" s="400"/>
    </row>
    <row r="38" spans="1:19" s="12" customFormat="1" x14ac:dyDescent="0.5">
      <c r="A38" s="232">
        <f>+A36</f>
        <v>26</v>
      </c>
      <c r="B38" s="232"/>
      <c r="C38" s="232"/>
      <c r="D38" s="232"/>
      <c r="E38" s="233" t="s">
        <v>58</v>
      </c>
      <c r="F38" s="297">
        <f>SUM(F11:F37)</f>
        <v>74186000</v>
      </c>
      <c r="G38" s="234">
        <f>SUM(G37:G37)</f>
        <v>0</v>
      </c>
      <c r="H38" s="234">
        <f>SUM(H37:H37)</f>
        <v>0</v>
      </c>
      <c r="I38" s="234"/>
      <c r="J38" s="234">
        <f>SUM(J37:J37)</f>
        <v>0</v>
      </c>
      <c r="K38" s="234">
        <f>SUM(K37:K37)</f>
        <v>0</v>
      </c>
      <c r="L38" s="234">
        <f>SUM(L37:L37)</f>
        <v>0</v>
      </c>
      <c r="M38" s="234"/>
      <c r="N38" s="406"/>
      <c r="O38" s="397">
        <f>+F38+G38</f>
        <v>74186000</v>
      </c>
      <c r="P38" s="398"/>
      <c r="Q38" s="398"/>
      <c r="R38" s="399"/>
      <c r="S38" s="399"/>
    </row>
    <row r="39" spans="1:19" s="16" customFormat="1" x14ac:dyDescent="0.2">
      <c r="A39" s="14"/>
      <c r="B39" s="14"/>
      <c r="C39" s="14"/>
      <c r="D39" s="14"/>
      <c r="E39" s="27" t="s">
        <v>59</v>
      </c>
      <c r="F39" s="304"/>
      <c r="G39" s="31"/>
      <c r="H39" s="31"/>
      <c r="I39" s="31"/>
      <c r="J39" s="31"/>
      <c r="K39" s="15"/>
      <c r="L39" s="15"/>
      <c r="M39" s="31"/>
      <c r="N39" s="407"/>
      <c r="O39" s="400"/>
      <c r="P39" s="400"/>
      <c r="Q39" s="400"/>
      <c r="R39" s="400"/>
      <c r="S39" s="400"/>
    </row>
    <row r="40" spans="1:19" s="16" customFormat="1" ht="65.25" x14ac:dyDescent="0.2">
      <c r="A40" s="261">
        <v>1</v>
      </c>
      <c r="B40" s="261"/>
      <c r="C40" s="569" t="s">
        <v>297</v>
      </c>
      <c r="D40" s="261" t="s">
        <v>296</v>
      </c>
      <c r="E40" s="566" t="s">
        <v>328</v>
      </c>
      <c r="F40" s="474">
        <v>80000</v>
      </c>
      <c r="G40" s="281"/>
      <c r="H40" s="570"/>
      <c r="I40" s="499" t="str">
        <f>+[16]ตชด.!I40</f>
        <v>รอลงนามในสัญญา</v>
      </c>
      <c r="J40" s="31"/>
      <c r="K40" s="15"/>
      <c r="L40" s="15"/>
      <c r="M40" s="499" t="str">
        <f>+[16]ตชด.!M40</f>
        <v>ลงนามในสัญญา 26 พ.ย. 58</v>
      </c>
      <c r="N40" s="407">
        <v>1</v>
      </c>
      <c r="O40" s="400"/>
      <c r="P40" s="400"/>
      <c r="Q40" s="400"/>
      <c r="R40" s="400"/>
      <c r="S40" s="400"/>
    </row>
    <row r="41" spans="1:19" s="16" customFormat="1" ht="65.25" x14ac:dyDescent="0.2">
      <c r="A41" s="425">
        <v>2</v>
      </c>
      <c r="B41" s="425"/>
      <c r="C41" s="568" t="s">
        <v>308</v>
      </c>
      <c r="D41" s="425" t="s">
        <v>296</v>
      </c>
      <c r="E41" s="470" t="s">
        <v>329</v>
      </c>
      <c r="F41" s="471">
        <v>4109000</v>
      </c>
      <c r="G41" s="426"/>
      <c r="H41" s="571"/>
      <c r="I41" s="495" t="str">
        <f>+[16]ตชด.!I41</f>
        <v>อยู่ระหว่างดำเนินการจัดหา</v>
      </c>
      <c r="J41" s="423"/>
      <c r="K41" s="535"/>
      <c r="L41" s="535"/>
      <c r="M41" s="495" t="str">
        <f>+[16]ตชด.!M41</f>
        <v>  เสนอราคาเมื่อ 25 พ.ย. 58  ไม่มีผู้ขาย  อยู่ระหว่างขออนุมัติจัดหาวิธีพิเศษ</v>
      </c>
      <c r="N41" s="407">
        <v>2</v>
      </c>
      <c r="O41" s="400"/>
      <c r="P41" s="400"/>
      <c r="Q41" s="400"/>
      <c r="R41" s="400"/>
      <c r="S41" s="400"/>
    </row>
    <row r="42" spans="1:19" s="16" customFormat="1" ht="43.5" x14ac:dyDescent="0.2">
      <c r="A42" s="425">
        <v>3</v>
      </c>
      <c r="B42" s="425"/>
      <c r="C42" s="568" t="s">
        <v>308</v>
      </c>
      <c r="D42" s="425" t="s">
        <v>296</v>
      </c>
      <c r="E42" s="470" t="s">
        <v>330</v>
      </c>
      <c r="F42" s="471">
        <v>4109000</v>
      </c>
      <c r="G42" s="426"/>
      <c r="H42" s="571"/>
      <c r="I42" s="495">
        <f>+[16]ตชด.!I42</f>
        <v>0</v>
      </c>
      <c r="J42" s="423"/>
      <c r="K42" s="535"/>
      <c r="L42" s="535"/>
      <c r="M42" s="495" t="str">
        <f>+[16]ตชด.!M42</f>
        <v> ประกาศผลการเสนอราคา 9 ธ.ค. 58 </v>
      </c>
      <c r="N42" s="407">
        <v>2</v>
      </c>
      <c r="O42" s="400"/>
      <c r="P42" s="400"/>
      <c r="Q42" s="400"/>
      <c r="R42" s="400"/>
      <c r="S42" s="400"/>
    </row>
    <row r="43" spans="1:19" s="16" customFormat="1" ht="43.5" x14ac:dyDescent="0.2">
      <c r="A43" s="425">
        <v>4</v>
      </c>
      <c r="B43" s="425"/>
      <c r="C43" s="568" t="s">
        <v>308</v>
      </c>
      <c r="D43" s="425" t="s">
        <v>296</v>
      </c>
      <c r="E43" s="470" t="s">
        <v>331</v>
      </c>
      <c r="F43" s="471">
        <v>4109000</v>
      </c>
      <c r="G43" s="426"/>
      <c r="H43" s="571"/>
      <c r="I43" s="495" t="str">
        <f>+[16]ตชด.!I43</f>
        <v>อยู่ระหว่างดำเนินการจัดหา</v>
      </c>
      <c r="J43" s="423"/>
      <c r="K43" s="535"/>
      <c r="L43" s="535"/>
      <c r="M43" s="495" t="str">
        <f>+[16]ตชด.!M43</f>
        <v xml:space="preserve"> เสนอราคา 1 ธ.ค. 58 </v>
      </c>
      <c r="N43" s="407">
        <v>2</v>
      </c>
      <c r="O43" s="400"/>
      <c r="P43" s="400"/>
      <c r="Q43" s="400"/>
      <c r="R43" s="400"/>
      <c r="S43" s="400"/>
    </row>
    <row r="44" spans="1:19" s="16" customFormat="1" ht="43.5" x14ac:dyDescent="0.2">
      <c r="A44" s="425">
        <v>5</v>
      </c>
      <c r="B44" s="425"/>
      <c r="C44" s="568" t="s">
        <v>308</v>
      </c>
      <c r="D44" s="425" t="s">
        <v>296</v>
      </c>
      <c r="E44" s="470" t="s">
        <v>332</v>
      </c>
      <c r="F44" s="471">
        <v>4109000</v>
      </c>
      <c r="G44" s="426"/>
      <c r="H44" s="571"/>
      <c r="I44" s="495" t="str">
        <f>+[16]ตชด.!I44</f>
        <v>อยู่ระหว่างดำเนินการจัดหา</v>
      </c>
      <c r="J44" s="423"/>
      <c r="K44" s="535"/>
      <c r="L44" s="535"/>
      <c r="M44" s="495" t="str">
        <f>+[16]ตชด.!M44</f>
        <v> ประกาศประกวดราคาในวันที่  19 พ.ย.58  </v>
      </c>
      <c r="N44" s="407">
        <v>2</v>
      </c>
      <c r="O44" s="400"/>
      <c r="P44" s="400"/>
      <c r="Q44" s="400"/>
      <c r="R44" s="400"/>
      <c r="S44" s="400"/>
    </row>
    <row r="45" spans="1:19" s="16" customFormat="1" ht="43.5" x14ac:dyDescent="0.2">
      <c r="A45" s="425">
        <v>6</v>
      </c>
      <c r="B45" s="425"/>
      <c r="C45" s="568" t="s">
        <v>308</v>
      </c>
      <c r="D45" s="425" t="s">
        <v>296</v>
      </c>
      <c r="E45" s="470" t="s">
        <v>333</v>
      </c>
      <c r="F45" s="471">
        <v>4109000</v>
      </c>
      <c r="G45" s="426"/>
      <c r="H45" s="571"/>
      <c r="I45" s="495" t="str">
        <f>+[16]ตชด.!I45</f>
        <v>อยู่ระหว่างดำเนินการจัดหา</v>
      </c>
      <c r="J45" s="423"/>
      <c r="K45" s="535"/>
      <c r="L45" s="535"/>
      <c r="M45" s="495" t="str">
        <f>+[16]ตชด.!M45</f>
        <v xml:space="preserve">ประกาศประกวดราคาในวันที่  23 พ.ย.58 </v>
      </c>
      <c r="N45" s="407">
        <v>2</v>
      </c>
      <c r="O45" s="400"/>
      <c r="P45" s="400"/>
      <c r="Q45" s="400"/>
      <c r="R45" s="400"/>
      <c r="S45" s="400"/>
    </row>
    <row r="46" spans="1:19" s="16" customFormat="1" ht="43.5" x14ac:dyDescent="0.2">
      <c r="A46" s="425">
        <v>7</v>
      </c>
      <c r="B46" s="425"/>
      <c r="C46" s="568" t="s">
        <v>308</v>
      </c>
      <c r="D46" s="425" t="s">
        <v>296</v>
      </c>
      <c r="E46" s="470" t="s">
        <v>334</v>
      </c>
      <c r="F46" s="471">
        <v>4109000</v>
      </c>
      <c r="G46" s="426"/>
      <c r="H46" s="571"/>
      <c r="I46" s="495" t="str">
        <f>+[16]ตชด.!I46</f>
        <v>อยู่ระหว่างดำเนินการจัดหา</v>
      </c>
      <c r="J46" s="423"/>
      <c r="K46" s="535"/>
      <c r="L46" s="535"/>
      <c r="M46" s="495" t="str">
        <f>+[16]ตชด.!M46</f>
        <v xml:space="preserve">รอลงนามในสัญญา  </v>
      </c>
      <c r="N46" s="407">
        <v>2</v>
      </c>
      <c r="O46" s="400"/>
      <c r="P46" s="400"/>
      <c r="Q46" s="400"/>
      <c r="R46" s="400"/>
      <c r="S46" s="400"/>
    </row>
    <row r="47" spans="1:19" s="16" customFormat="1" ht="43.5" x14ac:dyDescent="0.2">
      <c r="A47" s="425">
        <v>8</v>
      </c>
      <c r="B47" s="425"/>
      <c r="C47" s="568" t="s">
        <v>308</v>
      </c>
      <c r="D47" s="425" t="s">
        <v>296</v>
      </c>
      <c r="E47" s="470" t="s">
        <v>335</v>
      </c>
      <c r="F47" s="471">
        <v>4109000</v>
      </c>
      <c r="G47" s="426"/>
      <c r="H47" s="571"/>
      <c r="I47" s="495" t="str">
        <f>+[16]ตชด.!I47</f>
        <v>อยู่ระหว่างดำเนินการจัดหา</v>
      </c>
      <c r="J47" s="423"/>
      <c r="K47" s="535"/>
      <c r="L47" s="535"/>
      <c r="M47" s="495" t="str">
        <f>+[16]ตชด.!M47</f>
        <v>เสนอราคา 1 ธ.ค. 58</v>
      </c>
      <c r="N47" s="407">
        <v>2</v>
      </c>
      <c r="O47" s="400"/>
      <c r="P47" s="400"/>
      <c r="Q47" s="400"/>
      <c r="R47" s="400"/>
      <c r="S47" s="400"/>
    </row>
    <row r="48" spans="1:19" s="16" customFormat="1" ht="43.5" x14ac:dyDescent="0.2">
      <c r="A48" s="425">
        <v>9</v>
      </c>
      <c r="B48" s="425"/>
      <c r="C48" s="568" t="s">
        <v>308</v>
      </c>
      <c r="D48" s="425" t="s">
        <v>296</v>
      </c>
      <c r="E48" s="470" t="s">
        <v>336</v>
      </c>
      <c r="F48" s="471">
        <v>4109000</v>
      </c>
      <c r="G48" s="426"/>
      <c r="H48" s="571"/>
      <c r="I48" s="495" t="str">
        <f>+[16]ตชด.!I48</f>
        <v>อยู่ระหว่างดำเนินการจัดหา</v>
      </c>
      <c r="J48" s="423"/>
      <c r="K48" s="535"/>
      <c r="L48" s="535"/>
      <c r="M48" s="495" t="str">
        <f>+[16]ตชด.!M48</f>
        <v>เสนอราคา 1 ธ.ค. 58</v>
      </c>
      <c r="N48" s="407">
        <v>2</v>
      </c>
      <c r="O48" s="400"/>
      <c r="P48" s="400"/>
      <c r="Q48" s="400"/>
      <c r="R48" s="400"/>
      <c r="S48" s="400"/>
    </row>
    <row r="49" spans="1:19" s="16" customFormat="1" ht="43.5" x14ac:dyDescent="0.2">
      <c r="A49" s="261">
        <v>10</v>
      </c>
      <c r="B49" s="261"/>
      <c r="C49" s="569" t="s">
        <v>308</v>
      </c>
      <c r="D49" s="261" t="s">
        <v>296</v>
      </c>
      <c r="E49" s="473" t="s">
        <v>337</v>
      </c>
      <c r="F49" s="474">
        <v>825800</v>
      </c>
      <c r="G49" s="281"/>
      <c r="H49" s="570"/>
      <c r="I49" s="499" t="str">
        <f>+[16]ตชด.!I49</f>
        <v>อยู่ระหว่างดำเนินการจัดหา</v>
      </c>
      <c r="J49" s="31"/>
      <c r="K49" s="15"/>
      <c r="L49" s="15"/>
      <c r="M49" s="499" t="str">
        <f>+[16]ตชด.!M49</f>
        <v>รอลงนามในสัญญา</v>
      </c>
      <c r="N49" s="407">
        <v>1</v>
      </c>
      <c r="O49" s="400"/>
      <c r="P49" s="400"/>
      <c r="Q49" s="400"/>
      <c r="R49" s="400"/>
      <c r="S49" s="400"/>
    </row>
    <row r="50" spans="1:19" s="16" customFormat="1" ht="65.25" x14ac:dyDescent="0.2">
      <c r="A50" s="261">
        <v>11</v>
      </c>
      <c r="B50" s="261"/>
      <c r="C50" s="569" t="s">
        <v>308</v>
      </c>
      <c r="D50" s="261" t="s">
        <v>296</v>
      </c>
      <c r="E50" s="473" t="s">
        <v>338</v>
      </c>
      <c r="F50" s="474">
        <v>825800</v>
      </c>
      <c r="G50" s="281"/>
      <c r="H50" s="570"/>
      <c r="I50" s="499" t="str">
        <f>+[16]ตชด.!I50</f>
        <v>อยู่ระหว่างดำเนินการจัดหา</v>
      </c>
      <c r="J50" s="31"/>
      <c r="K50" s="15"/>
      <c r="L50" s="15"/>
      <c r="M50" s="499" t="str">
        <f>+[16]ตชด.!M50</f>
        <v>  เสนอราคาเมื่อ 25 พ.ย. 58  ไม่มีผู้ขาย  อยู่ระหว่างขออนุมัติจัดหาวิธีพิเศษ</v>
      </c>
      <c r="N50" s="407">
        <v>1</v>
      </c>
      <c r="O50" s="400"/>
      <c r="P50" s="400"/>
      <c r="Q50" s="400"/>
      <c r="R50" s="400"/>
      <c r="S50" s="400"/>
    </row>
    <row r="51" spans="1:19" s="16" customFormat="1" ht="43.5" x14ac:dyDescent="0.2">
      <c r="A51" s="261">
        <v>12</v>
      </c>
      <c r="B51" s="261"/>
      <c r="C51" s="569" t="s">
        <v>308</v>
      </c>
      <c r="D51" s="261" t="s">
        <v>296</v>
      </c>
      <c r="E51" s="473" t="s">
        <v>339</v>
      </c>
      <c r="F51" s="474">
        <v>825800</v>
      </c>
      <c r="G51" s="281"/>
      <c r="H51" s="570"/>
      <c r="I51" s="499" t="str">
        <f>+[16]ตชด.!I51</f>
        <v>อยู่ระหว่างดำเนินการจัดหา</v>
      </c>
      <c r="J51" s="31"/>
      <c r="K51" s="15"/>
      <c r="L51" s="15"/>
      <c r="M51" s="499" t="str">
        <f>+[16]ตชด.!M51</f>
        <v>เสนอราคา 4 ธ.ค. 58</v>
      </c>
      <c r="N51" s="407">
        <v>1</v>
      </c>
      <c r="O51" s="400"/>
      <c r="P51" s="400"/>
      <c r="Q51" s="400"/>
      <c r="R51" s="400"/>
      <c r="S51" s="400"/>
    </row>
    <row r="52" spans="1:19" s="16" customFormat="1" ht="43.5" x14ac:dyDescent="0.2">
      <c r="A52" s="261">
        <v>13</v>
      </c>
      <c r="B52" s="261"/>
      <c r="C52" s="569" t="s">
        <v>308</v>
      </c>
      <c r="D52" s="261" t="s">
        <v>296</v>
      </c>
      <c r="E52" s="473" t="s">
        <v>340</v>
      </c>
      <c r="F52" s="474">
        <v>825800</v>
      </c>
      <c r="G52" s="281"/>
      <c r="H52" s="570"/>
      <c r="I52" s="499" t="str">
        <f>+[16]ตชด.!I52</f>
        <v>อยู่ระหว่างดำเนินการจัดหา</v>
      </c>
      <c r="J52" s="31"/>
      <c r="K52" s="15"/>
      <c r="L52" s="15"/>
      <c r="M52" s="499" t="str">
        <f>+[16]ตชด.!M52</f>
        <v>เสนอราคา 2 ธ.ค. 58</v>
      </c>
      <c r="N52" s="407">
        <v>1</v>
      </c>
      <c r="O52" s="400"/>
      <c r="P52" s="400"/>
      <c r="Q52" s="400"/>
      <c r="R52" s="400"/>
      <c r="S52" s="400"/>
    </row>
    <row r="53" spans="1:19" s="16" customFormat="1" ht="43.5" x14ac:dyDescent="0.2">
      <c r="A53" s="261">
        <v>14</v>
      </c>
      <c r="B53" s="261"/>
      <c r="C53" s="569" t="s">
        <v>308</v>
      </c>
      <c r="D53" s="261" t="s">
        <v>296</v>
      </c>
      <c r="E53" s="473" t="s">
        <v>341</v>
      </c>
      <c r="F53" s="474">
        <v>825800</v>
      </c>
      <c r="G53" s="281"/>
      <c r="H53" s="570"/>
      <c r="I53" s="499" t="str">
        <f>+[16]ตชด.!I53</f>
        <v>อยู่ระหว่างดำเนินการจัดหา</v>
      </c>
      <c r="J53" s="31"/>
      <c r="K53" s="15"/>
      <c r="L53" s="15"/>
      <c r="M53" s="499" t="str">
        <f>+[16]ตชด.!M53</f>
        <v>เสนอราคา 1 ธ.ค. 58</v>
      </c>
      <c r="N53" s="407">
        <v>1</v>
      </c>
      <c r="O53" s="400"/>
      <c r="P53" s="400"/>
      <c r="Q53" s="400"/>
      <c r="R53" s="400"/>
      <c r="S53" s="400"/>
    </row>
    <row r="54" spans="1:19" s="16" customFormat="1" ht="43.5" x14ac:dyDescent="0.2">
      <c r="A54" s="261">
        <v>15</v>
      </c>
      <c r="B54" s="261"/>
      <c r="C54" s="569" t="s">
        <v>308</v>
      </c>
      <c r="D54" s="261" t="s">
        <v>296</v>
      </c>
      <c r="E54" s="473" t="s">
        <v>342</v>
      </c>
      <c r="F54" s="474">
        <v>825800</v>
      </c>
      <c r="G54" s="281"/>
      <c r="H54" s="570"/>
      <c r="I54" s="499" t="str">
        <f>+[16]ตชด.!I54</f>
        <v>อยู่ระหว่างดำเนินการจัดหา</v>
      </c>
      <c r="J54" s="31"/>
      <c r="K54" s="15"/>
      <c r="L54" s="15"/>
      <c r="M54" s="499" t="str">
        <f>+[16]ตชด.!M54</f>
        <v>เสนอราคา 1 ธ.ค. 58</v>
      </c>
      <c r="N54" s="407">
        <v>1</v>
      </c>
      <c r="O54" s="400"/>
      <c r="P54" s="400"/>
      <c r="Q54" s="400"/>
      <c r="R54" s="400"/>
      <c r="S54" s="400"/>
    </row>
    <row r="55" spans="1:19" s="16" customFormat="1" ht="43.5" x14ac:dyDescent="0.2">
      <c r="A55" s="261">
        <v>16</v>
      </c>
      <c r="B55" s="261"/>
      <c r="C55" s="569" t="s">
        <v>308</v>
      </c>
      <c r="D55" s="261" t="s">
        <v>296</v>
      </c>
      <c r="E55" s="473" t="s">
        <v>343</v>
      </c>
      <c r="F55" s="474">
        <v>825800</v>
      </c>
      <c r="G55" s="281"/>
      <c r="H55" s="570"/>
      <c r="I55" s="499" t="str">
        <f>+[16]ตชด.!I55</f>
        <v>อยู่ระหว่างดำเนินการจัดหา</v>
      </c>
      <c r="J55" s="31"/>
      <c r="K55" s="15"/>
      <c r="L55" s="15"/>
      <c r="M55" s="499" t="str">
        <f>+[16]ตชด.!M55</f>
        <v> เสนอราคา 27 พ.ย. 58 </v>
      </c>
      <c r="N55" s="407">
        <v>1</v>
      </c>
      <c r="O55" s="400"/>
      <c r="P55" s="400"/>
      <c r="Q55" s="400"/>
      <c r="R55" s="400"/>
      <c r="S55" s="400"/>
    </row>
    <row r="56" spans="1:19" s="16" customFormat="1" ht="43.5" x14ac:dyDescent="0.2">
      <c r="A56" s="261">
        <v>17</v>
      </c>
      <c r="B56" s="261"/>
      <c r="C56" s="569" t="s">
        <v>308</v>
      </c>
      <c r="D56" s="261" t="s">
        <v>296</v>
      </c>
      <c r="E56" s="473" t="s">
        <v>344</v>
      </c>
      <c r="F56" s="474">
        <v>825800</v>
      </c>
      <c r="G56" s="281"/>
      <c r="H56" s="570"/>
      <c r="I56" s="499" t="str">
        <f>+[16]ตชด.!I56</f>
        <v>อยู่ระหว่างดำเนินการจัดหา</v>
      </c>
      <c r="J56" s="31"/>
      <c r="K56" s="15"/>
      <c r="L56" s="15"/>
      <c r="M56" s="499" t="str">
        <f>+[16]ตชด.!M56</f>
        <v>เสนอราคา 1 ธ.ค. 58</v>
      </c>
      <c r="N56" s="407">
        <v>1</v>
      </c>
      <c r="O56" s="400"/>
      <c r="P56" s="400"/>
      <c r="Q56" s="400"/>
      <c r="R56" s="400"/>
      <c r="S56" s="400"/>
    </row>
    <row r="57" spans="1:19" s="16" customFormat="1" ht="43.5" x14ac:dyDescent="0.2">
      <c r="A57" s="261">
        <v>18</v>
      </c>
      <c r="B57" s="261"/>
      <c r="C57" s="569" t="s">
        <v>308</v>
      </c>
      <c r="D57" s="261" t="s">
        <v>296</v>
      </c>
      <c r="E57" s="473" t="s">
        <v>345</v>
      </c>
      <c r="F57" s="474">
        <v>825800</v>
      </c>
      <c r="G57" s="281"/>
      <c r="H57" s="570"/>
      <c r="I57" s="499" t="str">
        <f>+[16]ตชด.!I57</f>
        <v>อยู่ระหว่างดำเนินการจัดหา</v>
      </c>
      <c r="J57" s="31"/>
      <c r="K57" s="15"/>
      <c r="L57" s="15"/>
      <c r="M57" s="499" t="str">
        <f>+[16]ตชด.!M57</f>
        <v>เสนอราคา 30 พ.ย. 58</v>
      </c>
      <c r="N57" s="407">
        <v>1</v>
      </c>
      <c r="O57" s="400"/>
      <c r="P57" s="400"/>
      <c r="Q57" s="400"/>
      <c r="R57" s="400"/>
      <c r="S57" s="400"/>
    </row>
    <row r="58" spans="1:19" s="16" customFormat="1" ht="43.5" x14ac:dyDescent="0.2">
      <c r="A58" s="261">
        <v>19</v>
      </c>
      <c r="B58" s="261"/>
      <c r="C58" s="569" t="s">
        <v>308</v>
      </c>
      <c r="D58" s="261" t="s">
        <v>296</v>
      </c>
      <c r="E58" s="473" t="s">
        <v>346</v>
      </c>
      <c r="F58" s="474">
        <v>825800</v>
      </c>
      <c r="G58" s="281"/>
      <c r="H58" s="570"/>
      <c r="I58" s="499" t="str">
        <f>+[16]ตชด.!I58</f>
        <v>อยู่ระหว่างดำเนินการจัดหา</v>
      </c>
      <c r="J58" s="31"/>
      <c r="K58" s="15"/>
      <c r="L58" s="15"/>
      <c r="M58" s="499" t="str">
        <f>+[16]ตชด.!M58</f>
        <v>รอลงนามในสัญญา</v>
      </c>
      <c r="N58" s="407">
        <v>1</v>
      </c>
      <c r="O58" s="400"/>
      <c r="P58" s="400"/>
      <c r="Q58" s="400"/>
      <c r="R58" s="400"/>
      <c r="S58" s="400"/>
    </row>
    <row r="59" spans="1:19" s="16" customFormat="1" ht="43.5" x14ac:dyDescent="0.2">
      <c r="A59" s="261">
        <v>20</v>
      </c>
      <c r="B59" s="261"/>
      <c r="C59" s="569" t="s">
        <v>308</v>
      </c>
      <c r="D59" s="261" t="s">
        <v>296</v>
      </c>
      <c r="E59" s="473" t="s">
        <v>347</v>
      </c>
      <c r="F59" s="474">
        <v>943700</v>
      </c>
      <c r="G59" s="281"/>
      <c r="H59" s="570"/>
      <c r="I59" s="499" t="str">
        <f>+[16]ตชด.!I59</f>
        <v>อยู่ระหว่างดำเนินการจัดหา</v>
      </c>
      <c r="J59" s="31"/>
      <c r="K59" s="15"/>
      <c r="L59" s="15"/>
      <c r="M59" s="499" t="str">
        <f>+[16]ตชด.!M59</f>
        <v>เสนอราคา 1 ธ.ค. 58</v>
      </c>
      <c r="N59" s="407">
        <v>1</v>
      </c>
      <c r="O59" s="400"/>
      <c r="P59" s="400"/>
      <c r="Q59" s="400"/>
      <c r="R59" s="400"/>
      <c r="S59" s="400"/>
    </row>
    <row r="60" spans="1:19" s="16" customFormat="1" ht="43.5" x14ac:dyDescent="0.2">
      <c r="A60" s="261">
        <v>21</v>
      </c>
      <c r="B60" s="261"/>
      <c r="C60" s="569" t="s">
        <v>308</v>
      </c>
      <c r="D60" s="261" t="s">
        <v>296</v>
      </c>
      <c r="E60" s="473" t="s">
        <v>348</v>
      </c>
      <c r="F60" s="474">
        <v>943700</v>
      </c>
      <c r="G60" s="281"/>
      <c r="H60" s="570"/>
      <c r="I60" s="499" t="str">
        <f>+[16]ตชด.!I60</f>
        <v>อยู่ระหว่างดำเนินการจัดหา</v>
      </c>
      <c r="J60" s="31"/>
      <c r="K60" s="15"/>
      <c r="L60" s="15"/>
      <c r="M60" s="499" t="str">
        <f>+[16]ตชด.!M60</f>
        <v>รอลงนามในสัญญา</v>
      </c>
      <c r="N60" s="407">
        <v>1</v>
      </c>
      <c r="O60" s="400"/>
      <c r="P60" s="400"/>
      <c r="Q60" s="400"/>
      <c r="R60" s="400"/>
      <c r="S60" s="400"/>
    </row>
    <row r="61" spans="1:19" s="16" customFormat="1" ht="43.5" x14ac:dyDescent="0.2">
      <c r="A61" s="261">
        <v>22</v>
      </c>
      <c r="B61" s="261"/>
      <c r="C61" s="569" t="s">
        <v>308</v>
      </c>
      <c r="D61" s="261" t="s">
        <v>296</v>
      </c>
      <c r="E61" s="473" t="s">
        <v>349</v>
      </c>
      <c r="F61" s="474">
        <v>943700</v>
      </c>
      <c r="G61" s="281"/>
      <c r="H61" s="570"/>
      <c r="I61" s="499" t="str">
        <f>+[16]ตชด.!I61</f>
        <v>อยู่ระหว่างดำเนินการจัดหา</v>
      </c>
      <c r="J61" s="31"/>
      <c r="K61" s="15"/>
      <c r="L61" s="15"/>
      <c r="M61" s="499" t="str">
        <f>+[16]ตชด.!M61</f>
        <v>ลงนามในสัญญา 20 พ.ย. 58</v>
      </c>
      <c r="N61" s="407">
        <v>1</v>
      </c>
      <c r="O61" s="400"/>
      <c r="P61" s="400"/>
      <c r="Q61" s="400"/>
      <c r="R61" s="400"/>
      <c r="S61" s="400"/>
    </row>
    <row r="62" spans="1:19" s="16" customFormat="1" ht="43.5" x14ac:dyDescent="0.2">
      <c r="A62" s="261">
        <v>23</v>
      </c>
      <c r="B62" s="261"/>
      <c r="C62" s="569" t="s">
        <v>308</v>
      </c>
      <c r="D62" s="261" t="s">
        <v>296</v>
      </c>
      <c r="E62" s="473" t="s">
        <v>350</v>
      </c>
      <c r="F62" s="474">
        <v>943700</v>
      </c>
      <c r="G62" s="281"/>
      <c r="H62" s="570"/>
      <c r="I62" s="499" t="str">
        <f>+[16]ตชด.!I62</f>
        <v>อยู่ระหว่างดำเนินการจัดหา</v>
      </c>
      <c r="J62" s="31"/>
      <c r="K62" s="15"/>
      <c r="L62" s="15"/>
      <c r="M62" s="499" t="str">
        <f>+[16]ตชด.!M62</f>
        <v>ลงนามในสัญญา 10 พ.ย. 58</v>
      </c>
      <c r="N62" s="407">
        <v>1</v>
      </c>
      <c r="O62" s="400"/>
      <c r="P62" s="400"/>
      <c r="Q62" s="400"/>
      <c r="R62" s="400"/>
      <c r="S62" s="400"/>
    </row>
    <row r="63" spans="1:19" s="16" customFormat="1" ht="43.5" x14ac:dyDescent="0.2">
      <c r="A63" s="261">
        <v>24</v>
      </c>
      <c r="B63" s="261"/>
      <c r="C63" s="569" t="s">
        <v>308</v>
      </c>
      <c r="D63" s="261" t="s">
        <v>296</v>
      </c>
      <c r="E63" s="473" t="s">
        <v>351</v>
      </c>
      <c r="F63" s="474">
        <v>943700</v>
      </c>
      <c r="G63" s="281"/>
      <c r="H63" s="570"/>
      <c r="I63" s="499" t="str">
        <f>+[16]ตชด.!I63</f>
        <v>อยู่ระหว่างดำเนินการจัดหา</v>
      </c>
      <c r="J63" s="31"/>
      <c r="K63" s="15"/>
      <c r="L63" s="15"/>
      <c r="M63" s="499" t="str">
        <f>+[16]ตชด.!M63</f>
        <v>เสนอราคา 1 ธ.ค. 58</v>
      </c>
      <c r="N63" s="407">
        <v>1</v>
      </c>
      <c r="O63" s="400"/>
      <c r="P63" s="400"/>
      <c r="Q63" s="400"/>
      <c r="R63" s="400"/>
      <c r="S63" s="400"/>
    </row>
    <row r="64" spans="1:19" s="16" customFormat="1" ht="43.5" x14ac:dyDescent="0.2">
      <c r="A64" s="261">
        <v>25</v>
      </c>
      <c r="B64" s="261"/>
      <c r="C64" s="569" t="s">
        <v>308</v>
      </c>
      <c r="D64" s="261" t="s">
        <v>296</v>
      </c>
      <c r="E64" s="473" t="s">
        <v>352</v>
      </c>
      <c r="F64" s="474">
        <v>943700</v>
      </c>
      <c r="G64" s="281"/>
      <c r="H64" s="570"/>
      <c r="I64" s="499" t="str">
        <f>+[16]ตชด.!I64</f>
        <v>อยู่ระหว่างดำเนินการจัดหา</v>
      </c>
      <c r="J64" s="31"/>
      <c r="K64" s="15"/>
      <c r="L64" s="15"/>
      <c r="M64" s="499" t="str">
        <f>+[16]ตชด.!M64</f>
        <v>เสนอราคา 1 ธ.ค. 58</v>
      </c>
      <c r="N64" s="407">
        <v>1</v>
      </c>
      <c r="O64" s="400"/>
      <c r="P64" s="400"/>
      <c r="Q64" s="400"/>
      <c r="R64" s="400"/>
      <c r="S64" s="400"/>
    </row>
    <row r="65" spans="1:19" s="16" customFormat="1" ht="43.5" x14ac:dyDescent="0.2">
      <c r="A65" s="261">
        <v>26</v>
      </c>
      <c r="B65" s="261"/>
      <c r="C65" s="569" t="s">
        <v>308</v>
      </c>
      <c r="D65" s="261" t="s">
        <v>296</v>
      </c>
      <c r="E65" s="473" t="s">
        <v>353</v>
      </c>
      <c r="F65" s="474">
        <v>943700</v>
      </c>
      <c r="G65" s="281"/>
      <c r="H65" s="570"/>
      <c r="I65" s="499" t="str">
        <f>+[16]ตชด.!I65</f>
        <v>อยู่ระหว่างดำเนินการจัดหา</v>
      </c>
      <c r="J65" s="31"/>
      <c r="K65" s="15"/>
      <c r="L65" s="15"/>
      <c r="M65" s="499" t="str">
        <f>+[16]ตชด.!M65</f>
        <v>เสนอราคา 4 ธ.ค. 58</v>
      </c>
      <c r="N65" s="407">
        <v>1</v>
      </c>
      <c r="O65" s="400"/>
      <c r="P65" s="400"/>
      <c r="Q65" s="400"/>
      <c r="R65" s="400"/>
      <c r="S65" s="400"/>
    </row>
    <row r="66" spans="1:19" s="16" customFormat="1" ht="43.5" x14ac:dyDescent="0.2">
      <c r="A66" s="261">
        <v>27</v>
      </c>
      <c r="B66" s="261"/>
      <c r="C66" s="569" t="s">
        <v>308</v>
      </c>
      <c r="D66" s="261" t="s">
        <v>296</v>
      </c>
      <c r="E66" s="473" t="s">
        <v>354</v>
      </c>
      <c r="F66" s="474">
        <v>943700</v>
      </c>
      <c r="G66" s="281"/>
      <c r="H66" s="570"/>
      <c r="I66" s="499" t="str">
        <f>+[16]ตชด.!I66</f>
        <v>อยู่ระหว่างดำเนินการจัดหา</v>
      </c>
      <c r="J66" s="31"/>
      <c r="K66" s="15"/>
      <c r="L66" s="15"/>
      <c r="M66" s="499" t="str">
        <f>+[16]ตชด.!M66</f>
        <v>เสนอราคา 30 พ.ย. 58</v>
      </c>
      <c r="N66" s="407">
        <v>1</v>
      </c>
      <c r="O66" s="400"/>
      <c r="P66" s="400"/>
      <c r="Q66" s="400"/>
      <c r="R66" s="400"/>
      <c r="S66" s="400"/>
    </row>
    <row r="67" spans="1:19" s="16" customFormat="1" ht="43.5" x14ac:dyDescent="0.2">
      <c r="A67" s="425">
        <v>28</v>
      </c>
      <c r="B67" s="425"/>
      <c r="C67" s="568" t="s">
        <v>308</v>
      </c>
      <c r="D67" s="425" t="s">
        <v>296</v>
      </c>
      <c r="E67" s="470" t="s">
        <v>355</v>
      </c>
      <c r="F67" s="471">
        <v>21331100</v>
      </c>
      <c r="G67" s="426"/>
      <c r="H67" s="571"/>
      <c r="I67" s="495" t="str">
        <f>+[16]ตชด.!I67</f>
        <v>พิจารณารูปแบบรายการ</v>
      </c>
      <c r="J67" s="423"/>
      <c r="K67" s="535"/>
      <c r="L67" s="535"/>
      <c r="M67" s="495" t="str">
        <f>+[16]ตชด.!M67</f>
        <v>ขออนุมัติ ผบช. จัดหาวิธีพิเศษ</v>
      </c>
      <c r="N67" s="407">
        <v>2</v>
      </c>
      <c r="O67" s="400"/>
      <c r="P67" s="400"/>
      <c r="Q67" s="400"/>
      <c r="R67" s="400"/>
      <c r="S67" s="400"/>
    </row>
    <row r="68" spans="1:19" s="16" customFormat="1" ht="65.25" x14ac:dyDescent="0.2">
      <c r="A68" s="425">
        <v>29</v>
      </c>
      <c r="B68" s="425"/>
      <c r="C68" s="568" t="s">
        <v>308</v>
      </c>
      <c r="D68" s="425" t="s">
        <v>296</v>
      </c>
      <c r="E68" s="470" t="s">
        <v>356</v>
      </c>
      <c r="F68" s="471">
        <v>20000000</v>
      </c>
      <c r="G68" s="426"/>
      <c r="H68" s="571"/>
      <c r="I68" s="495" t="str">
        <f>+[16]ตชด.!I68</f>
        <v> รอลงนามในสัญญา </v>
      </c>
      <c r="J68" s="423"/>
      <c r="K68" s="535"/>
      <c r="L68" s="535"/>
      <c r="M68" s="495" t="str">
        <f>+[16]ตชด.!M68</f>
        <v>วงเงินผูกพันข้ามปี / รอลงนามในสัญญา</v>
      </c>
      <c r="N68" s="407">
        <v>2</v>
      </c>
      <c r="O68" s="400"/>
      <c r="P68" s="400"/>
      <c r="Q68" s="400"/>
      <c r="R68" s="400"/>
      <c r="S68" s="400"/>
    </row>
    <row r="69" spans="1:19" s="16" customFormat="1" ht="43.5" x14ac:dyDescent="0.2">
      <c r="A69" s="425">
        <v>30</v>
      </c>
      <c r="B69" s="425"/>
      <c r="C69" s="568" t="s">
        <v>308</v>
      </c>
      <c r="D69" s="425" t="s">
        <v>296</v>
      </c>
      <c r="E69" s="525" t="s">
        <v>357</v>
      </c>
      <c r="F69" s="471">
        <v>10518100</v>
      </c>
      <c r="G69" s="426"/>
      <c r="H69" s="571"/>
      <c r="I69" s="495" t="str">
        <f>+[16]ตชด.!I69</f>
        <v xml:space="preserve">อยู่ระหว่างขออนุมัติเปลี่ยนแบบรูปรายการ </v>
      </c>
      <c r="J69" s="423"/>
      <c r="K69" s="535"/>
      <c r="L69" s="535"/>
      <c r="M69" s="495" t="str">
        <f>+[16]ตชด.!M69</f>
        <v> อยู่ระหว่างขออนุมัติเปลี่ยนแบบรูปรายการ </v>
      </c>
      <c r="N69" s="407">
        <v>2</v>
      </c>
      <c r="O69" s="400"/>
      <c r="P69" s="400"/>
      <c r="Q69" s="400"/>
      <c r="R69" s="400"/>
      <c r="S69" s="400"/>
    </row>
    <row r="70" spans="1:19" s="16" customFormat="1" ht="43.5" x14ac:dyDescent="0.2">
      <c r="A70" s="425">
        <v>31</v>
      </c>
      <c r="B70" s="425"/>
      <c r="C70" s="568" t="s">
        <v>308</v>
      </c>
      <c r="D70" s="425" t="s">
        <v>296</v>
      </c>
      <c r="E70" s="525" t="s">
        <v>358</v>
      </c>
      <c r="F70" s="471">
        <v>10518100</v>
      </c>
      <c r="G70" s="426"/>
      <c r="H70" s="571"/>
      <c r="I70" s="495" t="str">
        <f>+[16]ตชด.!I70</f>
        <v>อยู่ระหว่างดำเนินการจัดหา</v>
      </c>
      <c r="J70" s="423"/>
      <c r="K70" s="535"/>
      <c r="L70" s="535"/>
      <c r="M70" s="495" t="str">
        <f>+[16]ตชด.!M70</f>
        <v>เสนอราคา 1 ธ.ค. 58</v>
      </c>
      <c r="N70" s="407">
        <v>2</v>
      </c>
      <c r="O70" s="400"/>
      <c r="P70" s="400"/>
      <c r="Q70" s="400"/>
      <c r="R70" s="400"/>
      <c r="S70" s="400"/>
    </row>
    <row r="71" spans="1:19" s="16" customFormat="1" ht="43.5" x14ac:dyDescent="0.2">
      <c r="A71" s="261">
        <v>32</v>
      </c>
      <c r="B71" s="261"/>
      <c r="C71" s="569" t="s">
        <v>308</v>
      </c>
      <c r="D71" s="261" t="s">
        <v>296</v>
      </c>
      <c r="E71" s="533" t="s">
        <v>359</v>
      </c>
      <c r="F71" s="474">
        <v>1600000</v>
      </c>
      <c r="G71" s="281"/>
      <c r="H71" s="570"/>
      <c r="I71" s="499" t="str">
        <f>+[16]ตชด.!I71</f>
        <v>อยู่ระหว่าขออนุมัติเปลี่ยนแปลงแบบรูปรายการ</v>
      </c>
      <c r="J71" s="31"/>
      <c r="K71" s="15"/>
      <c r="L71" s="15"/>
      <c r="M71" s="499" t="str">
        <f>+[16]ตชด.!M71</f>
        <v>อยู่ระหว่าขออนุมัติเปลี่ยนแปลงแบบรูปรายการ</v>
      </c>
      <c r="N71" s="407">
        <v>1</v>
      </c>
      <c r="O71" s="400"/>
      <c r="P71" s="400"/>
      <c r="Q71" s="400"/>
      <c r="R71" s="400"/>
      <c r="S71" s="400"/>
    </row>
    <row r="72" spans="1:19" s="16" customFormat="1" ht="43.5" x14ac:dyDescent="0.2">
      <c r="A72" s="261">
        <v>33</v>
      </c>
      <c r="B72" s="261"/>
      <c r="C72" s="569" t="s">
        <v>308</v>
      </c>
      <c r="D72" s="261" t="s">
        <v>296</v>
      </c>
      <c r="E72" s="533" t="s">
        <v>360</v>
      </c>
      <c r="F72" s="474">
        <v>1600000</v>
      </c>
      <c r="G72" s="281"/>
      <c r="H72" s="570"/>
      <c r="I72" s="499" t="str">
        <f>+[16]ตชด.!I72</f>
        <v> อยู่ระหว่างขออนุมัติเปลี่ยนแปลงแบบรูปรายการ </v>
      </c>
      <c r="J72" s="31"/>
      <c r="K72" s="15"/>
      <c r="L72" s="15"/>
      <c r="M72" s="499" t="str">
        <f>+[16]ตชด.!M72</f>
        <v> อยู่ระหว่างขออนุมัติเปลี่ยนแปลงแบบรูปรายการ </v>
      </c>
      <c r="N72" s="407">
        <v>1</v>
      </c>
      <c r="O72" s="400"/>
      <c r="P72" s="400"/>
      <c r="Q72" s="400"/>
      <c r="R72" s="400"/>
      <c r="S72" s="400"/>
    </row>
    <row r="73" spans="1:19" s="16" customFormat="1" ht="43.5" x14ac:dyDescent="0.2">
      <c r="A73" s="261">
        <v>34</v>
      </c>
      <c r="B73" s="261"/>
      <c r="C73" s="569" t="s">
        <v>308</v>
      </c>
      <c r="D73" s="261" t="s">
        <v>296</v>
      </c>
      <c r="E73" s="533" t="s">
        <v>361</v>
      </c>
      <c r="F73" s="474">
        <v>1600000</v>
      </c>
      <c r="G73" s="281"/>
      <c r="H73" s="570"/>
      <c r="I73" s="499" t="str">
        <f>+[16]ตชด.!I73</f>
        <v xml:space="preserve">อยู่ระหว่างขออนุมัติเปลี่ยนแปลงแบบรูปรายการ </v>
      </c>
      <c r="J73" s="31"/>
      <c r="K73" s="15"/>
      <c r="L73" s="15"/>
      <c r="M73" s="499" t="str">
        <f>+[16]ตชด.!M73</f>
        <v>ประกาศสอบราคา 26 พ.ย. - 3 ธ.ค. 58 และเปิดซองเสนอราคา 9 ธ.ค. 58</v>
      </c>
      <c r="N73" s="407">
        <v>1</v>
      </c>
      <c r="O73" s="400"/>
      <c r="P73" s="400"/>
      <c r="Q73" s="400"/>
      <c r="R73" s="400"/>
      <c r="S73" s="400"/>
    </row>
    <row r="74" spans="1:19" s="16" customFormat="1" ht="65.25" x14ac:dyDescent="0.2">
      <c r="A74" s="261">
        <v>35</v>
      </c>
      <c r="B74" s="261"/>
      <c r="C74" s="569" t="s">
        <v>308</v>
      </c>
      <c r="D74" s="261" t="s">
        <v>296</v>
      </c>
      <c r="E74" s="533" t="s">
        <v>362</v>
      </c>
      <c r="F74" s="474">
        <v>1500000</v>
      </c>
      <c r="G74" s="281"/>
      <c r="H74" s="570"/>
      <c r="I74" s="499" t="str">
        <f>+[16]ตชด.!I74</f>
        <v>อยู่ระหว่างดำเนินการจัดหา</v>
      </c>
      <c r="J74" s="31"/>
      <c r="K74" s="15"/>
      <c r="L74" s="15"/>
      <c r="M74" s="499" t="str">
        <f>+[16]ตชด.!M74</f>
        <v> อยู่ระหว่างประกาศสอบราคา  23 พ.ย. - 3 ธ.ค. 58 และจะเปิดซองเสนอราคา 4 ธ.ค. 58</v>
      </c>
      <c r="N74" s="407">
        <v>1</v>
      </c>
      <c r="O74" s="400"/>
      <c r="P74" s="400"/>
      <c r="Q74" s="400"/>
      <c r="R74" s="400"/>
      <c r="S74" s="400"/>
    </row>
    <row r="75" spans="1:19" s="16" customFormat="1" ht="43.5" x14ac:dyDescent="0.2">
      <c r="A75" s="261">
        <v>36</v>
      </c>
      <c r="B75" s="261"/>
      <c r="C75" s="569" t="s">
        <v>308</v>
      </c>
      <c r="D75" s="261" t="s">
        <v>296</v>
      </c>
      <c r="E75" s="533" t="s">
        <v>363</v>
      </c>
      <c r="F75" s="474">
        <v>2000000</v>
      </c>
      <c r="G75" s="281"/>
      <c r="H75" s="570"/>
      <c r="I75" s="499" t="str">
        <f>+[16]ตชด.!I75</f>
        <v>อยู่ระหว่างดำเนินการจัดหา</v>
      </c>
      <c r="J75" s="31"/>
      <c r="K75" s="15"/>
      <c r="L75" s="15"/>
      <c r="M75" s="499" t="str">
        <f>+[16]ตชด.!M75</f>
        <v>รอลงนามในสัญญา</v>
      </c>
      <c r="N75" s="407">
        <v>1</v>
      </c>
      <c r="O75" s="400"/>
      <c r="P75" s="400"/>
      <c r="Q75" s="400"/>
      <c r="R75" s="400"/>
      <c r="S75" s="400"/>
    </row>
    <row r="76" spans="1:19" s="16" customFormat="1" ht="43.5" x14ac:dyDescent="0.2">
      <c r="A76" s="261">
        <v>37</v>
      </c>
      <c r="B76" s="261"/>
      <c r="C76" s="569" t="s">
        <v>308</v>
      </c>
      <c r="D76" s="261" t="s">
        <v>296</v>
      </c>
      <c r="E76" s="533" t="s">
        <v>364</v>
      </c>
      <c r="F76" s="474">
        <v>1046300</v>
      </c>
      <c r="G76" s="281"/>
      <c r="H76" s="570"/>
      <c r="I76" s="499" t="str">
        <f>+[16]ตชด.!I76</f>
        <v> อยู่ระหว่างดำเนินการจัดหา </v>
      </c>
      <c r="J76" s="31"/>
      <c r="K76" s="15"/>
      <c r="L76" s="15"/>
      <c r="M76" s="499" t="str">
        <f>+[16]ตชด.!M76</f>
        <v> ลงนามในสัญญา 26 พ.ย. 58 </v>
      </c>
      <c r="N76" s="407">
        <v>1</v>
      </c>
      <c r="O76" s="400"/>
      <c r="P76" s="400"/>
      <c r="Q76" s="400"/>
      <c r="R76" s="400"/>
      <c r="S76" s="400"/>
    </row>
    <row r="77" spans="1:19" s="16" customFormat="1" ht="43.5" x14ac:dyDescent="0.2">
      <c r="A77" s="261">
        <v>38</v>
      </c>
      <c r="B77" s="261"/>
      <c r="C77" s="569" t="s">
        <v>308</v>
      </c>
      <c r="D77" s="261" t="s">
        <v>296</v>
      </c>
      <c r="E77" s="533" t="s">
        <v>365</v>
      </c>
      <c r="F77" s="474">
        <v>539000</v>
      </c>
      <c r="G77" s="281"/>
      <c r="H77" s="570"/>
      <c r="I77" s="499" t="str">
        <f>+[16]ตชด.!I77</f>
        <v xml:space="preserve"> คณะกรรมการกำหนดราคากลาง </v>
      </c>
      <c r="J77" s="31"/>
      <c r="K77" s="15"/>
      <c r="L77" s="15"/>
      <c r="M77" s="499" t="str">
        <f>+[16]ตชด.!M77</f>
        <v xml:space="preserve">รอลงนามในสัญญา </v>
      </c>
      <c r="N77" s="407">
        <v>1</v>
      </c>
      <c r="O77" s="400"/>
      <c r="P77" s="400"/>
      <c r="Q77" s="400"/>
      <c r="R77" s="400"/>
      <c r="S77" s="400"/>
    </row>
    <row r="78" spans="1:19" s="16" customFormat="1" ht="43.5" x14ac:dyDescent="0.2">
      <c r="A78" s="425">
        <v>39</v>
      </c>
      <c r="B78" s="425"/>
      <c r="C78" s="568" t="s">
        <v>308</v>
      </c>
      <c r="D78" s="425" t="s">
        <v>296</v>
      </c>
      <c r="E78" s="470" t="s">
        <v>366</v>
      </c>
      <c r="F78" s="471">
        <v>2328000</v>
      </c>
      <c r="G78" s="426"/>
      <c r="H78" s="571"/>
      <c r="I78" s="495" t="str">
        <f>+[16]ตชด.!I78</f>
        <v xml:space="preserve"> อยู่ระหว่างดำเนินการจัดหา </v>
      </c>
      <c r="J78" s="423"/>
      <c r="K78" s="535"/>
      <c r="L78" s="535"/>
      <c r="M78" s="495" t="str">
        <f>+[16]ตชด.!M78</f>
        <v>เสนอราคาเมื่อ 26 พ.ย. 58</v>
      </c>
      <c r="N78" s="407">
        <v>2</v>
      </c>
      <c r="O78" s="400"/>
      <c r="P78" s="400"/>
      <c r="Q78" s="400"/>
      <c r="R78" s="400"/>
      <c r="S78" s="400"/>
    </row>
    <row r="79" spans="1:19" s="16" customFormat="1" ht="43.5" x14ac:dyDescent="0.2">
      <c r="A79" s="261">
        <v>40</v>
      </c>
      <c r="B79" s="261"/>
      <c r="C79" s="569" t="s">
        <v>308</v>
      </c>
      <c r="D79" s="261" t="s">
        <v>296</v>
      </c>
      <c r="E79" s="566" t="s">
        <v>367</v>
      </c>
      <c r="F79" s="474">
        <v>300000</v>
      </c>
      <c r="G79" s="281"/>
      <c r="H79" s="570"/>
      <c r="I79" s="499" t="str">
        <f>+[16]ตชด.!I79</f>
        <v xml:space="preserve"> อยู่ระหว่างดำเนินการจัดหา </v>
      </c>
      <c r="J79" s="31"/>
      <c r="K79" s="15"/>
      <c r="L79" s="15"/>
      <c r="M79" s="499" t="str">
        <f>+[16]ตชด.!M79</f>
        <v>รอลงนามในสัญญา</v>
      </c>
      <c r="N79" s="407">
        <v>1</v>
      </c>
      <c r="O79" s="400"/>
      <c r="P79" s="400"/>
      <c r="Q79" s="400"/>
      <c r="R79" s="400"/>
      <c r="S79" s="400"/>
    </row>
    <row r="80" spans="1:19" s="284" customFormat="1" ht="65.25" x14ac:dyDescent="0.2">
      <c r="A80" s="425">
        <v>41</v>
      </c>
      <c r="B80" s="425"/>
      <c r="C80" s="557" t="s">
        <v>368</v>
      </c>
      <c r="D80" s="425" t="s">
        <v>296</v>
      </c>
      <c r="E80" s="525" t="s">
        <v>369</v>
      </c>
      <c r="F80" s="526">
        <v>59373200</v>
      </c>
      <c r="G80" s="426"/>
      <c r="H80" s="571"/>
      <c r="I80" s="495" t="str">
        <f>+[16]ตชด.!I80</f>
        <v>อยู่ระหว่างจัดทำผังและแบบรูปรายการ</v>
      </c>
      <c r="J80" s="423"/>
      <c r="K80" s="535"/>
      <c r="L80" s="535"/>
      <c r="M80" s="495" t="str">
        <f>+[16]ตชด.!M80</f>
        <v>อยู่ระหว่างจัดทำผังและแบบรูปรายการ</v>
      </c>
      <c r="N80" s="410">
        <v>2</v>
      </c>
      <c r="O80" s="401"/>
      <c r="P80" s="401"/>
      <c r="Q80" s="401"/>
      <c r="R80" s="401"/>
      <c r="S80" s="401"/>
    </row>
    <row r="81" spans="1:46" s="16" customFormat="1" x14ac:dyDescent="0.2">
      <c r="A81" s="14"/>
      <c r="B81" s="14"/>
      <c r="C81" s="14"/>
      <c r="D81" s="14"/>
      <c r="E81" s="477"/>
      <c r="F81" s="496"/>
      <c r="G81" s="31"/>
      <c r="H81" s="31"/>
      <c r="I81" s="31"/>
      <c r="J81" s="31"/>
      <c r="K81" s="15"/>
      <c r="L81" s="15"/>
      <c r="M81" s="31"/>
      <c r="N81" s="407"/>
      <c r="O81" s="400"/>
      <c r="P81" s="400"/>
      <c r="Q81" s="400"/>
      <c r="R81" s="400"/>
      <c r="S81" s="400"/>
    </row>
    <row r="82" spans="1:46" s="16" customFormat="1" ht="22.5" thickBot="1" x14ac:dyDescent="0.55000000000000004">
      <c r="A82" s="235">
        <f>+A80</f>
        <v>41</v>
      </c>
      <c r="B82" s="235"/>
      <c r="C82" s="235"/>
      <c r="D82" s="235"/>
      <c r="E82" s="236" t="s">
        <v>60</v>
      </c>
      <c r="F82" s="298">
        <f>SUM(F40:F81)</f>
        <v>183013400</v>
      </c>
      <c r="G82" s="237">
        <f>SUM(G80:G81)</f>
        <v>0</v>
      </c>
      <c r="H82" s="237">
        <f>SUM(H80:H81)</f>
        <v>0</v>
      </c>
      <c r="I82" s="237"/>
      <c r="J82" s="237">
        <f>SUM(J80:J81)</f>
        <v>0</v>
      </c>
      <c r="K82" s="237">
        <f>SUM(K80:K81)</f>
        <v>0</v>
      </c>
      <c r="L82" s="237">
        <f>SUM(L80:L81)</f>
        <v>0</v>
      </c>
      <c r="M82" s="237"/>
      <c r="N82" s="405"/>
      <c r="O82" s="402">
        <f>+F82+G82</f>
        <v>183013400</v>
      </c>
      <c r="P82" s="398"/>
      <c r="Q82" s="398"/>
      <c r="R82" s="400"/>
      <c r="S82" s="400"/>
    </row>
    <row r="83" spans="1:46" s="480" customFormat="1" ht="22.5" thickBot="1" x14ac:dyDescent="0.55000000000000004">
      <c r="A83" s="238">
        <f>+A38+A82</f>
        <v>67</v>
      </c>
      <c r="B83" s="239"/>
      <c r="C83" s="239"/>
      <c r="D83" s="239"/>
      <c r="E83" s="239" t="s">
        <v>370</v>
      </c>
      <c r="F83" s="299">
        <f>F38+F82</f>
        <v>257199400</v>
      </c>
      <c r="G83" s="289">
        <f>+G38+G82</f>
        <v>0</v>
      </c>
      <c r="H83" s="289">
        <f>+H38+H82</f>
        <v>0</v>
      </c>
      <c r="I83" s="240"/>
      <c r="J83" s="240">
        <f>J38+J82</f>
        <v>0</v>
      </c>
      <c r="K83" s="240">
        <f>K38+K82</f>
        <v>0</v>
      </c>
      <c r="L83" s="240">
        <f>L38+L82</f>
        <v>0</v>
      </c>
      <c r="M83" s="240"/>
      <c r="N83" s="408"/>
      <c r="O83" s="397">
        <f>+O38+O82</f>
        <v>257199400</v>
      </c>
      <c r="P83" s="479"/>
      <c r="Q83" s="479"/>
      <c r="R83" s="399"/>
      <c r="S83" s="399"/>
      <c r="T83" s="12"/>
      <c r="U83" s="12"/>
      <c r="V83" s="12"/>
      <c r="W83" s="12"/>
      <c r="X83" s="12"/>
      <c r="Y83" s="12"/>
      <c r="Z83" s="12"/>
      <c r="AA83" s="12"/>
    </row>
    <row r="84" spans="1:46" s="16" customFormat="1" x14ac:dyDescent="0.2">
      <c r="A84" s="481"/>
      <c r="B84" s="481"/>
      <c r="C84" s="481"/>
      <c r="D84" s="481"/>
      <c r="E84" s="482"/>
      <c r="F84" s="558"/>
      <c r="G84" s="375"/>
      <c r="H84" s="375"/>
      <c r="I84" s="375"/>
      <c r="J84" s="375"/>
      <c r="K84" s="376"/>
      <c r="L84" s="376"/>
      <c r="M84" s="375"/>
      <c r="N84" s="407"/>
      <c r="O84" s="400"/>
      <c r="P84" s="400"/>
      <c r="Q84" s="400"/>
      <c r="R84" s="400"/>
      <c r="S84" s="400"/>
    </row>
    <row r="85" spans="1:46" s="16" customFormat="1" x14ac:dyDescent="0.5">
      <c r="A85" s="481"/>
      <c r="B85" s="481"/>
      <c r="C85" s="481"/>
      <c r="D85" s="481"/>
      <c r="E85" s="482"/>
      <c r="F85" s="32"/>
      <c r="G85" s="375"/>
      <c r="H85" s="375"/>
      <c r="I85" s="375"/>
      <c r="J85" s="375"/>
      <c r="K85" s="376"/>
      <c r="L85" s="376"/>
      <c r="M85" s="375"/>
      <c r="N85" s="407"/>
      <c r="O85" s="400"/>
      <c r="P85" s="400"/>
      <c r="Q85" s="400"/>
      <c r="R85" s="400"/>
      <c r="S85" s="400"/>
    </row>
    <row r="87" spans="1:46" s="77" customFormat="1" x14ac:dyDescent="0.5">
      <c r="A87" s="483"/>
      <c r="B87" s="483"/>
      <c r="C87" s="483"/>
      <c r="D87" s="483"/>
      <c r="F87" s="270"/>
      <c r="G87" s="119"/>
      <c r="H87" s="119"/>
      <c r="I87" s="119"/>
      <c r="J87" s="119"/>
      <c r="K87" s="484"/>
      <c r="L87" s="484"/>
      <c r="M87" s="119"/>
      <c r="N87" s="465"/>
      <c r="O87" s="399"/>
      <c r="P87" s="399"/>
      <c r="Q87" s="399"/>
      <c r="R87" s="399"/>
      <c r="S87" s="399"/>
      <c r="T87" s="485"/>
      <c r="U87" s="485"/>
      <c r="V87" s="485"/>
      <c r="W87" s="485"/>
      <c r="X87" s="485"/>
      <c r="Y87" s="485"/>
      <c r="Z87" s="485"/>
      <c r="AA87" s="485"/>
      <c r="AB87" s="485"/>
      <c r="AC87" s="485"/>
      <c r="AD87" s="485"/>
      <c r="AE87" s="485"/>
      <c r="AF87" s="485"/>
      <c r="AG87" s="485"/>
      <c r="AH87" s="485"/>
      <c r="AI87" s="485"/>
      <c r="AJ87" s="485"/>
      <c r="AK87" s="485"/>
      <c r="AL87" s="485"/>
      <c r="AM87" s="485"/>
      <c r="AN87" s="485"/>
      <c r="AO87" s="485"/>
      <c r="AP87" s="485"/>
      <c r="AQ87" s="485"/>
      <c r="AR87" s="485"/>
      <c r="AS87" s="485"/>
      <c r="AT87" s="485"/>
    </row>
    <row r="88" spans="1:46" s="77" customFormat="1" x14ac:dyDescent="0.5">
      <c r="A88" s="483"/>
      <c r="B88" s="483"/>
      <c r="C88" s="483"/>
      <c r="D88" s="483"/>
      <c r="F88" s="270"/>
      <c r="G88" s="119"/>
      <c r="H88" s="119"/>
      <c r="I88" s="119"/>
      <c r="J88" s="119"/>
      <c r="K88" s="484"/>
      <c r="L88" s="484"/>
      <c r="M88" s="119"/>
      <c r="N88" s="465"/>
      <c r="O88" s="399"/>
      <c r="P88" s="399"/>
      <c r="Q88" s="399"/>
      <c r="R88" s="399"/>
      <c r="S88" s="399"/>
      <c r="T88" s="485"/>
      <c r="U88" s="485"/>
      <c r="V88" s="485"/>
      <c r="W88" s="485"/>
      <c r="X88" s="485"/>
      <c r="Y88" s="485"/>
      <c r="Z88" s="485"/>
      <c r="AA88" s="485"/>
      <c r="AB88" s="485"/>
      <c r="AC88" s="485"/>
      <c r="AD88" s="485"/>
      <c r="AE88" s="485"/>
      <c r="AF88" s="485"/>
      <c r="AG88" s="485"/>
      <c r="AH88" s="485"/>
      <c r="AI88" s="485"/>
      <c r="AJ88" s="485"/>
      <c r="AK88" s="485"/>
      <c r="AL88" s="485"/>
      <c r="AM88" s="485"/>
      <c r="AN88" s="485"/>
      <c r="AO88" s="485"/>
      <c r="AP88" s="485"/>
      <c r="AQ88" s="485"/>
      <c r="AR88" s="485"/>
      <c r="AS88" s="485"/>
      <c r="AT88" s="485"/>
    </row>
    <row r="89" spans="1:46" s="77" customFormat="1" x14ac:dyDescent="0.5">
      <c r="A89" s="483"/>
      <c r="B89" s="483"/>
      <c r="C89" s="483"/>
      <c r="D89" s="483"/>
      <c r="F89" s="270"/>
      <c r="G89" s="119"/>
      <c r="H89" s="119"/>
      <c r="I89" s="119"/>
      <c r="J89" s="119"/>
      <c r="K89" s="484"/>
      <c r="L89" s="484"/>
      <c r="M89" s="119"/>
      <c r="N89" s="465"/>
      <c r="O89" s="399"/>
      <c r="P89" s="399"/>
      <c r="Q89" s="399"/>
      <c r="R89" s="399"/>
      <c r="S89" s="399"/>
      <c r="T89" s="485"/>
      <c r="U89" s="485"/>
      <c r="V89" s="485"/>
      <c r="W89" s="485"/>
      <c r="X89" s="485"/>
      <c r="Y89" s="485"/>
      <c r="Z89" s="485"/>
      <c r="AA89" s="485"/>
      <c r="AB89" s="485"/>
      <c r="AC89" s="485"/>
      <c r="AD89" s="485"/>
      <c r="AE89" s="485"/>
      <c r="AF89" s="485"/>
      <c r="AG89" s="485"/>
      <c r="AH89" s="485"/>
      <c r="AI89" s="485"/>
      <c r="AJ89" s="485"/>
      <c r="AK89" s="485"/>
      <c r="AL89" s="485"/>
      <c r="AM89" s="485"/>
      <c r="AN89" s="485"/>
      <c r="AO89" s="485"/>
      <c r="AP89" s="485"/>
      <c r="AQ89" s="485"/>
      <c r="AR89" s="485"/>
      <c r="AS89" s="485"/>
      <c r="AT89" s="485"/>
    </row>
    <row r="90" spans="1:46" s="77" customFormat="1" x14ac:dyDescent="0.5">
      <c r="A90" s="483"/>
      <c r="B90" s="483"/>
      <c r="C90" s="483"/>
      <c r="D90" s="483"/>
      <c r="F90" s="270"/>
      <c r="G90" s="119"/>
      <c r="H90" s="119"/>
      <c r="I90" s="119"/>
      <c r="J90" s="119"/>
      <c r="K90" s="484"/>
      <c r="L90" s="484"/>
      <c r="M90" s="119"/>
      <c r="N90" s="465"/>
      <c r="O90" s="399"/>
      <c r="P90" s="399"/>
      <c r="Q90" s="399"/>
      <c r="R90" s="399"/>
      <c r="S90" s="399"/>
      <c r="T90" s="485"/>
      <c r="U90" s="485"/>
      <c r="V90" s="485"/>
      <c r="W90" s="485"/>
      <c r="X90" s="485"/>
      <c r="Y90" s="485"/>
      <c r="Z90" s="485"/>
      <c r="AA90" s="485"/>
      <c r="AB90" s="485"/>
      <c r="AC90" s="485"/>
      <c r="AD90" s="485"/>
      <c r="AE90" s="485"/>
      <c r="AF90" s="485"/>
      <c r="AG90" s="485"/>
      <c r="AH90" s="485"/>
      <c r="AI90" s="485"/>
      <c r="AJ90" s="485"/>
      <c r="AK90" s="485"/>
      <c r="AL90" s="485"/>
      <c r="AM90" s="485"/>
      <c r="AN90" s="485"/>
      <c r="AO90" s="485"/>
      <c r="AP90" s="485"/>
      <c r="AQ90" s="485"/>
      <c r="AR90" s="485"/>
      <c r="AS90" s="485"/>
      <c r="AT90" s="485"/>
    </row>
  </sheetData>
  <autoFilter ref="N1:N90"/>
  <mergeCells count="20">
    <mergeCell ref="Q5:Q8"/>
    <mergeCell ref="K5:K8"/>
    <mergeCell ref="A5:A8"/>
    <mergeCell ref="F6:F8"/>
    <mergeCell ref="B5:B8"/>
    <mergeCell ref="E5:E8"/>
    <mergeCell ref="D5:D8"/>
    <mergeCell ref="C5:C8"/>
    <mergeCell ref="L5:L8"/>
    <mergeCell ref="G6:G8"/>
    <mergeCell ref="J5:J8"/>
    <mergeCell ref="I5:I8"/>
    <mergeCell ref="F5:H5"/>
    <mergeCell ref="H6:H8"/>
    <mergeCell ref="M5:M8"/>
    <mergeCell ref="A1:M1"/>
    <mergeCell ref="A2:M2"/>
    <mergeCell ref="A3:M3"/>
    <mergeCell ref="P5:P8"/>
    <mergeCell ref="F4:G4"/>
  </mergeCells>
  <phoneticPr fontId="2" type="noConversion"/>
  <conditionalFormatting sqref="F11:F14 F19:F36 F40:F66 F71:F80">
    <cfRule type="cellIs" dxfId="62" priority="11" stopIfTrue="1" operator="between">
      <formula>2000001</formula>
      <formula>500000000</formula>
    </cfRule>
  </conditionalFormatting>
  <conditionalFormatting sqref="F15">
    <cfRule type="cellIs" dxfId="61" priority="9" stopIfTrue="1" operator="between">
      <formula>2000001</formula>
      <formula>500000000</formula>
    </cfRule>
  </conditionalFormatting>
  <conditionalFormatting sqref="F16:F18">
    <cfRule type="cellIs" dxfId="60" priority="8" stopIfTrue="1" operator="between">
      <formula>2000001</formula>
      <formula>500000000</formula>
    </cfRule>
  </conditionalFormatting>
  <conditionalFormatting sqref="F67">
    <cfRule type="cellIs" dxfId="59" priority="3" stopIfTrue="1" operator="between">
      <formula>2000001</formula>
      <formula>500000000</formula>
    </cfRule>
  </conditionalFormatting>
  <conditionalFormatting sqref="F68">
    <cfRule type="cellIs" dxfId="58" priority="2" stopIfTrue="1" operator="between">
      <formula>2000001</formula>
      <formula>500000000</formula>
    </cfRule>
  </conditionalFormatting>
  <conditionalFormatting sqref="F69:F70">
    <cfRule type="cellIs" dxfId="57" priority="1" stopIfTrue="1" operator="between">
      <formula>2000001</formula>
      <formula>500000000</formula>
    </cfRule>
  </conditionalFormatting>
  <pageMargins left="0.55118110236220474" right="0.55118110236220474" top="0.74803149606299213" bottom="0.59055118110236227" header="0.19685039370078741" footer="0.51181102362204722"/>
  <pageSetup paperSize="9" scale="85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5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5703125" style="559" customWidth="1"/>
    <col min="7" max="7" width="15.42578125" style="488" customWidth="1"/>
    <col min="8" max="8" width="15.42578125" style="488" hidden="1" customWidth="1"/>
    <col min="9" max="9" width="30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1.140625" style="488" customWidth="1"/>
    <col min="14" max="14" width="4.5703125" style="465" customWidth="1"/>
    <col min="15" max="15" width="19.5703125" style="399" bestFit="1" customWidth="1"/>
    <col min="16" max="18" width="9.140625" style="399"/>
    <col min="19" max="19" width="12.42578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 t="s">
        <v>70</v>
      </c>
      <c r="Q2" s="397" t="s">
        <v>70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 t="s">
        <v>70</v>
      </c>
      <c r="Q3" s="462" t="s">
        <v>70</v>
      </c>
      <c r="R3" s="463">
        <v>1</v>
      </c>
      <c r="S3" s="462">
        <f>+F11</f>
        <v>3300000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22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65.25" x14ac:dyDescent="0.2">
      <c r="A11" s="425">
        <v>1</v>
      </c>
      <c r="B11" s="425"/>
      <c r="C11" s="425" t="s">
        <v>300</v>
      </c>
      <c r="D11" s="425" t="s">
        <v>22</v>
      </c>
      <c r="E11" s="470" t="s">
        <v>371</v>
      </c>
      <c r="F11" s="471">
        <v>3300000</v>
      </c>
      <c r="G11" s="426"/>
      <c r="H11" s="426"/>
      <c r="I11" s="505" t="str">
        <f>+[17]นรป.!I11</f>
        <v>อยู่ระหว่างขอรับความเห็นชอบ</v>
      </c>
      <c r="J11" s="31"/>
      <c r="K11" s="15"/>
      <c r="L11" s="15"/>
      <c r="M11" s="505" t="str">
        <f>+[17]นรป.!M11</f>
        <v>ประกาศเชิญชวน</v>
      </c>
      <c r="N11" s="407">
        <v>2</v>
      </c>
      <c r="O11" s="400"/>
      <c r="P11" s="400"/>
      <c r="Q11" s="400"/>
      <c r="R11" s="400"/>
      <c r="S11" s="400"/>
    </row>
    <row r="12" spans="1:38" s="16" customFormat="1" x14ac:dyDescent="0.2">
      <c r="A12" s="14"/>
      <c r="B12" s="476"/>
      <c r="C12" s="476"/>
      <c r="D12" s="476"/>
      <c r="E12" s="493"/>
      <c r="F12" s="478"/>
      <c r="G12" s="31"/>
      <c r="H12" s="31"/>
      <c r="I12" s="31"/>
      <c r="J12" s="31"/>
      <c r="K12" s="15"/>
      <c r="L12" s="15"/>
      <c r="M12" s="31"/>
      <c r="N12" s="407"/>
      <c r="O12" s="400"/>
      <c r="P12" s="400"/>
      <c r="Q12" s="400"/>
      <c r="R12" s="400"/>
      <c r="S12" s="400"/>
    </row>
    <row r="13" spans="1:38" s="12" customFormat="1" ht="22.5" thickBot="1" x14ac:dyDescent="0.55000000000000004">
      <c r="A13" s="232">
        <f>+A11</f>
        <v>1</v>
      </c>
      <c r="B13" s="232"/>
      <c r="C13" s="232"/>
      <c r="D13" s="232"/>
      <c r="E13" s="233" t="s">
        <v>58</v>
      </c>
      <c r="F13" s="297">
        <f>SUM(F11:F12)</f>
        <v>3300000</v>
      </c>
      <c r="G13" s="234">
        <f>SUM(G12:G12)</f>
        <v>0</v>
      </c>
      <c r="H13" s="234">
        <f>SUM(H12:H12)</f>
        <v>0</v>
      </c>
      <c r="I13" s="234"/>
      <c r="J13" s="234">
        <f>SUM(J12:J12)</f>
        <v>0</v>
      </c>
      <c r="K13" s="234">
        <f>SUM(K12:K12)</f>
        <v>0</v>
      </c>
      <c r="L13" s="234">
        <f>SUM(L12:L12)</f>
        <v>0</v>
      </c>
      <c r="M13" s="234"/>
      <c r="N13" s="406"/>
      <c r="O13" s="397">
        <f>+F13+G13</f>
        <v>3300000</v>
      </c>
      <c r="P13" s="398"/>
      <c r="Q13" s="398"/>
      <c r="R13" s="399"/>
      <c r="S13" s="399"/>
    </row>
    <row r="14" spans="1:38" s="16" customFormat="1" ht="22.5" hidden="1" thickBot="1" x14ac:dyDescent="0.25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1"/>
      <c r="N14" s="407"/>
      <c r="O14" s="400"/>
      <c r="P14" s="400"/>
      <c r="Q14" s="400"/>
      <c r="R14" s="400"/>
      <c r="S14" s="400"/>
    </row>
    <row r="15" spans="1:38" s="16" customFormat="1" ht="22.5" hidden="1" thickBot="1" x14ac:dyDescent="0.25">
      <c r="A15" s="14"/>
      <c r="B15" s="14"/>
      <c r="C15" s="14"/>
      <c r="D15" s="14"/>
      <c r="E15" s="27"/>
      <c r="F15" s="304"/>
      <c r="G15" s="31"/>
      <c r="H15" s="31"/>
      <c r="I15" s="31"/>
      <c r="J15" s="31"/>
      <c r="K15" s="15"/>
      <c r="L15" s="15"/>
      <c r="M15" s="31"/>
      <c r="N15" s="407"/>
      <c r="O15" s="400"/>
      <c r="P15" s="400"/>
      <c r="Q15" s="400"/>
      <c r="R15" s="400"/>
      <c r="S15" s="400"/>
    </row>
    <row r="16" spans="1:38" s="16" customFormat="1" ht="22.5" hidden="1" thickBot="1" x14ac:dyDescent="0.25">
      <c r="A16" s="14"/>
      <c r="B16" s="14"/>
      <c r="C16" s="14"/>
      <c r="D16" s="14"/>
      <c r="E16" s="477"/>
      <c r="F16" s="496"/>
      <c r="G16" s="31"/>
      <c r="H16" s="31"/>
      <c r="I16" s="31"/>
      <c r="J16" s="31"/>
      <c r="K16" s="15"/>
      <c r="L16" s="15"/>
      <c r="M16" s="31"/>
      <c r="N16" s="407"/>
      <c r="O16" s="400"/>
      <c r="P16" s="400"/>
      <c r="Q16" s="400"/>
      <c r="R16" s="400"/>
      <c r="S16" s="400"/>
    </row>
    <row r="17" spans="1:46" s="16" customFormat="1" ht="22.5" hidden="1" thickBot="1" x14ac:dyDescent="0.55000000000000004">
      <c r="A17" s="235"/>
      <c r="B17" s="235"/>
      <c r="C17" s="235"/>
      <c r="D17" s="235"/>
      <c r="E17" s="236" t="s">
        <v>60</v>
      </c>
      <c r="F17" s="298">
        <f>SUM(F15:F16)</f>
        <v>0</v>
      </c>
      <c r="G17" s="237">
        <f>SUM(G15:G16)</f>
        <v>0</v>
      </c>
      <c r="H17" s="237">
        <f>SUM(H15:H16)</f>
        <v>0</v>
      </c>
      <c r="I17" s="237"/>
      <c r="J17" s="237">
        <f>SUM(J15:J16)</f>
        <v>0</v>
      </c>
      <c r="K17" s="237">
        <f>SUM(K15:K16)</f>
        <v>0</v>
      </c>
      <c r="L17" s="237">
        <f>SUM(L15:L16)</f>
        <v>0</v>
      </c>
      <c r="M17" s="237"/>
      <c r="N17" s="405"/>
      <c r="O17" s="402">
        <f>+F17+G17</f>
        <v>0</v>
      </c>
      <c r="P17" s="398"/>
      <c r="Q17" s="398"/>
      <c r="R17" s="400"/>
      <c r="S17" s="400"/>
    </row>
    <row r="18" spans="1:46" s="480" customFormat="1" ht="22.5" thickBot="1" x14ac:dyDescent="0.55000000000000004">
      <c r="A18" s="238">
        <f>+A13+A17</f>
        <v>1</v>
      </c>
      <c r="B18" s="239"/>
      <c r="C18" s="239"/>
      <c r="D18" s="239"/>
      <c r="E18" s="239" t="s">
        <v>372</v>
      </c>
      <c r="F18" s="299">
        <f>F13+F17</f>
        <v>3300000</v>
      </c>
      <c r="G18" s="240">
        <f>+G13+G17</f>
        <v>0</v>
      </c>
      <c r="H18" s="240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240"/>
      <c r="N18" s="408"/>
      <c r="O18" s="397">
        <f>+O13+O17</f>
        <v>3300000</v>
      </c>
      <c r="P18" s="479"/>
      <c r="Q18" s="479"/>
      <c r="R18" s="399"/>
      <c r="S18" s="399"/>
      <c r="T18" s="12"/>
      <c r="U18" s="12"/>
      <c r="V18" s="12"/>
      <c r="W18" s="12"/>
      <c r="X18" s="12"/>
      <c r="Y18" s="12"/>
      <c r="Z18" s="12"/>
      <c r="AA18" s="12"/>
    </row>
    <row r="19" spans="1:46" s="16" customFormat="1" x14ac:dyDescent="0.2">
      <c r="A19" s="481"/>
      <c r="B19" s="481"/>
      <c r="C19" s="481"/>
      <c r="D19" s="481"/>
      <c r="E19" s="482"/>
      <c r="F19" s="558"/>
      <c r="G19" s="375"/>
      <c r="H19" s="375"/>
      <c r="I19" s="375"/>
      <c r="J19" s="375"/>
      <c r="K19" s="376"/>
      <c r="L19" s="376"/>
      <c r="M19" s="375"/>
      <c r="N19" s="407"/>
      <c r="O19" s="400"/>
      <c r="P19" s="400"/>
      <c r="Q19" s="400"/>
      <c r="R19" s="400"/>
      <c r="S19" s="400"/>
    </row>
    <row r="20" spans="1:46" s="16" customFormat="1" x14ac:dyDescent="0.5">
      <c r="A20" s="481"/>
      <c r="B20" s="481"/>
      <c r="C20" s="481"/>
      <c r="D20" s="481"/>
      <c r="E20" s="482"/>
      <c r="F20" s="32"/>
      <c r="G20" s="375"/>
      <c r="H20" s="375"/>
      <c r="I20" s="375"/>
      <c r="J20" s="375"/>
      <c r="K20" s="376"/>
      <c r="L20" s="376"/>
      <c r="M20" s="375"/>
      <c r="N20" s="407"/>
      <c r="O20" s="400"/>
      <c r="P20" s="400"/>
      <c r="Q20" s="400"/>
      <c r="R20" s="400"/>
      <c r="S20" s="400"/>
    </row>
    <row r="22" spans="1:46" s="77" customFormat="1" ht="22.5" thickBot="1" x14ac:dyDescent="0.55000000000000004">
      <c r="A22" s="483"/>
      <c r="B22" s="483"/>
      <c r="C22" s="483"/>
      <c r="D22" s="483"/>
      <c r="E22" s="77" t="s">
        <v>64</v>
      </c>
      <c r="F22" s="78"/>
      <c r="G22" s="229"/>
      <c r="H22" s="119"/>
      <c r="I22" s="119"/>
      <c r="J22" s="119"/>
      <c r="K22" s="484"/>
      <c r="L22" s="484"/>
      <c r="M22" s="119"/>
      <c r="N22" s="465"/>
      <c r="O22" s="399"/>
      <c r="P22" s="399"/>
      <c r="Q22" s="399"/>
      <c r="R22" s="399"/>
      <c r="S22" s="399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</row>
    <row r="23" spans="1:46" s="77" customFormat="1" ht="22.5" thickTop="1" x14ac:dyDescent="0.5">
      <c r="A23" s="483"/>
      <c r="B23" s="483"/>
      <c r="C23" s="483"/>
      <c r="D23" s="483"/>
      <c r="E23" s="77" t="s">
        <v>65</v>
      </c>
      <c r="F23" s="270"/>
      <c r="G23" s="119"/>
      <c r="H23" s="119"/>
      <c r="I23" s="119"/>
      <c r="J23" s="119"/>
      <c r="K23" s="484"/>
      <c r="L23" s="484"/>
      <c r="M23" s="119"/>
      <c r="N23" s="465"/>
      <c r="O23" s="399"/>
      <c r="P23" s="399"/>
      <c r="Q23" s="399"/>
      <c r="R23" s="399"/>
      <c r="S23" s="399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</row>
    <row r="24" spans="1:46" s="77" customFormat="1" x14ac:dyDescent="0.5">
      <c r="A24" s="483"/>
      <c r="B24" s="483"/>
      <c r="C24" s="483"/>
      <c r="D24" s="483"/>
      <c r="E24" s="77" t="s">
        <v>66</v>
      </c>
      <c r="F24" s="270"/>
      <c r="G24" s="119"/>
      <c r="H24" s="119"/>
      <c r="I24" s="119"/>
      <c r="J24" s="119"/>
      <c r="K24" s="484"/>
      <c r="L24" s="484"/>
      <c r="M24" s="119"/>
      <c r="N24" s="465"/>
      <c r="O24" s="399"/>
      <c r="P24" s="399"/>
      <c r="Q24" s="399"/>
      <c r="R24" s="399"/>
      <c r="S24" s="399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77" customFormat="1" x14ac:dyDescent="0.5">
      <c r="A25" s="483"/>
      <c r="B25" s="483"/>
      <c r="C25" s="483"/>
      <c r="D25" s="483"/>
      <c r="E25" s="77" t="s">
        <v>67</v>
      </c>
      <c r="F25" s="270"/>
      <c r="G25" s="119"/>
      <c r="H25" s="119"/>
      <c r="I25" s="119"/>
      <c r="J25" s="119"/>
      <c r="K25" s="484"/>
      <c r="L25" s="484"/>
      <c r="M25" s="119"/>
      <c r="N25" s="465"/>
      <c r="O25" s="399"/>
      <c r="P25" s="399"/>
      <c r="Q25" s="399"/>
      <c r="R25" s="399"/>
      <c r="S25" s="399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</sheetData>
  <autoFilter ref="N1:N25"/>
  <mergeCells count="20">
    <mergeCell ref="Q5:Q8"/>
    <mergeCell ref="F6:F8"/>
    <mergeCell ref="G6:G8"/>
    <mergeCell ref="I5:I8"/>
    <mergeCell ref="F5:H5"/>
    <mergeCell ref="H6:H8"/>
    <mergeCell ref="M5:M8"/>
    <mergeCell ref="P5:P8"/>
    <mergeCell ref="J5:J8"/>
    <mergeCell ref="A1:M1"/>
    <mergeCell ref="A2:M2"/>
    <mergeCell ref="A3:M3"/>
    <mergeCell ref="K5:K8"/>
    <mergeCell ref="L5:L8"/>
    <mergeCell ref="F4:G4"/>
    <mergeCell ref="A5:A8"/>
    <mergeCell ref="B5:B8"/>
    <mergeCell ref="C5:C8"/>
    <mergeCell ref="D5:D8"/>
    <mergeCell ref="E5:E8"/>
  </mergeCells>
  <conditionalFormatting sqref="F11">
    <cfRule type="cellIs" dxfId="56" priority="1" stopIfTrue="1" operator="between">
      <formula>2000001</formula>
      <formula>500000000</formula>
    </cfRule>
  </conditionalFormatting>
  <pageMargins left="0.51181102362204722" right="0.47244094488188981" top="0.74803149606299213" bottom="0.74803149606299213" header="0.31496062992125984" footer="0.31496062992125984"/>
  <pageSetup paperSize="9" scale="85" orientation="landscape" blackAndWhite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3"/>
  <sheetViews>
    <sheetView topLeftCell="A7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85546875" style="486" customWidth="1"/>
    <col min="4" max="4" width="7.42578125" style="486" customWidth="1"/>
    <col min="5" max="5" width="35.28515625" style="460" customWidth="1"/>
    <col min="6" max="6" width="15.28515625" style="559" customWidth="1"/>
    <col min="7" max="7" width="14.85546875" style="488" customWidth="1"/>
    <col min="8" max="8" width="14.85546875" style="488" hidden="1" customWidth="1"/>
    <col min="9" max="9" width="36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48.710937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3</v>
      </c>
      <c r="Q2" s="397">
        <f>+F12+F13+F14</f>
        <v>3220000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8.75" customHeight="1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4</v>
      </c>
      <c r="Q3" s="462">
        <f>+F11+F15+F16+F17</f>
        <v>23802000</v>
      </c>
      <c r="R3" s="463">
        <v>6</v>
      </c>
      <c r="S3" s="462">
        <f>SUM(F21:F23)</f>
        <v>39200600</v>
      </c>
      <c r="T3" s="460"/>
      <c r="U3" s="460"/>
      <c r="V3" s="460"/>
      <c r="W3" s="460"/>
      <c r="X3" s="460"/>
      <c r="Y3" s="460"/>
      <c r="Z3" s="460"/>
      <c r="AA3" s="460"/>
    </row>
    <row r="4" spans="1:38" ht="17.25" customHeight="1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19.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19.5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18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6.5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ht="20.25" customHeight="1" x14ac:dyDescent="0.5">
      <c r="A9" s="10"/>
      <c r="B9" s="10"/>
      <c r="C9" s="10"/>
      <c r="D9" s="10"/>
      <c r="E9" s="29" t="s">
        <v>23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273.75" customHeight="1" x14ac:dyDescent="0.2">
      <c r="A11" s="425">
        <v>1</v>
      </c>
      <c r="B11" s="425"/>
      <c r="C11" s="572" t="s">
        <v>139</v>
      </c>
      <c r="D11" s="425" t="s">
        <v>140</v>
      </c>
      <c r="E11" s="470" t="s">
        <v>373</v>
      </c>
      <c r="F11" s="471">
        <v>5500000</v>
      </c>
      <c r="G11" s="426"/>
      <c r="H11" s="426"/>
      <c r="I11" s="573" t="str">
        <f>+[18]สพฐ.ตร.!I11</f>
        <v xml:space="preserve"> - ใช้คุณลักษณะเฉพาะ สพฐ.ตร. เลขที่ 16/2558 ผบช.สพฐ.ตร. อนุมัติ ลง 31 ส.ค. 58
 - คณะกรรมการกำหนดราคากลาง เป็นเงิน 5,500,000 บาท
 - ประกาศราคากลาง วันที่ 8 ต.ค. 58
 - ขอรับความเห็นชอบ วันที่ 2 - 7 ต.ค. 58 โดยวิธี e-bidding
 - ประกาศเชิญชวนการประกวดราคาฯ  วันที่ 15 - 21 ต.ค. 58
 - ยื่นเสนอราคา วันที่ 30 ต.ค.58
 - ขณะนี้อยู่ระหว่างการพิจารณาข้อวิจารณ์ของผู้วิจารณ์</v>
      </c>
      <c r="J11" s="458"/>
      <c r="K11" s="459"/>
      <c r="L11" s="459"/>
      <c r="M11" s="573" t="str">
        <f>+[18]สพฐ.ตร.!M11</f>
        <v xml:space="preserve"> - ประกาศร่างเอกสารประกวดราคาฯ วันที่ 8-15 ต.ค. 58 เพื่อให้สาธารณขนวิจารณ์
 - ประกาศเชิญชวนการประกวดราคาฯ  วันที่ 16 - 26 ต.ค. 58
 - ผลปรากฎว่า มีผู้วิจารณ์ร่างเอกสารฯ วันที่ 12 ต.ค. 58 แต่เจ้าหน้าที่พัสดุได้รับเอกสาร วันที่ 22 ต.ค. 58 เนื่องจากเป็นข้อผิดพลาดของทางราชการด้านการรับส่งเอกสารจึงได้ประกาศยกเลิกประกาศเชิญชวนครั้งนี้ ในวันที่ 26 ต.ค. 58
 - ขณะนี้อยู่ระหว่างการพิจารณาข้อวิจารณ์ของผู้วิจารณ์</v>
      </c>
      <c r="N11" s="407">
        <v>2</v>
      </c>
      <c r="O11" s="400"/>
      <c r="P11" s="400"/>
      <c r="Q11" s="400"/>
      <c r="R11" s="400"/>
      <c r="S11" s="400"/>
    </row>
    <row r="12" spans="1:38" s="16" customFormat="1" ht="256.5" customHeight="1" x14ac:dyDescent="0.2">
      <c r="A12" s="261">
        <v>2</v>
      </c>
      <c r="B12" s="261"/>
      <c r="C12" s="574" t="s">
        <v>139</v>
      </c>
      <c r="D12" s="261" t="s">
        <v>140</v>
      </c>
      <c r="E12" s="473" t="s">
        <v>374</v>
      </c>
      <c r="F12" s="474">
        <v>1500000</v>
      </c>
      <c r="G12" s="281"/>
      <c r="H12" s="281"/>
      <c r="I12" s="575" t="str">
        <f>+[18]สพฐ.ตร.!I12</f>
        <v xml:space="preserve"> - ใช้คุณลักษณะเฉพาะ สพฐ.ตร. เลขที่ 15/2558 ผบช.สพฐ.ตร. อนุมัติ ลง 31 ส.ค. 58
- ประกาศราคากลาง วันที่  24 ก.ย. 58 เป็นเงิน 1,500,000 บาท
 -ประกาศราคากลาง วันที่ 24 ก.ย. 58
 - ประกาศสอบราคา วันที่ 25 ก.ย. - 9 ต.ค. 58
 - เปิดซองสอบราคา วันที่ 12 ต.ค.58 บริษัท พาราไซแอนติฟิค จำกัด เสนอราคาต่ำสุด 1,475,000 บาท
 - ลงนามในสัญญา วันที่ 2 พ.ย. 58
 - กำหนดส่งมอบพัสดุ วันที่ 30 เ.ม.ย. 59</v>
      </c>
      <c r="J12" s="458"/>
      <c r="K12" s="459"/>
      <c r="L12" s="459"/>
      <c r="M12" s="575" t="str">
        <f>+[18]สพฐ.ตร.!M12</f>
        <v xml:space="preserve"> - ลงนามในสัญญา วันที่ 9 พ.ย. 58
 - กำหนดส่งมอบพัสดุ วันที่ 6 พ.ค. 59</v>
      </c>
      <c r="N12" s="407">
        <v>1</v>
      </c>
      <c r="O12" s="400"/>
      <c r="P12" s="400"/>
      <c r="Q12" s="400"/>
      <c r="R12" s="400"/>
      <c r="S12" s="400"/>
    </row>
    <row r="13" spans="1:38" s="16" customFormat="1" ht="260.25" customHeight="1" x14ac:dyDescent="0.2">
      <c r="A13" s="261">
        <v>3</v>
      </c>
      <c r="B13" s="261"/>
      <c r="C13" s="574" t="s">
        <v>139</v>
      </c>
      <c r="D13" s="261" t="s">
        <v>140</v>
      </c>
      <c r="E13" s="473" t="s">
        <v>375</v>
      </c>
      <c r="F13" s="474">
        <v>1500000</v>
      </c>
      <c r="G13" s="281"/>
      <c r="H13" s="281"/>
      <c r="I13" s="575" t="str">
        <f>+[18]สพฐ.ตร.!I13</f>
        <v xml:space="preserve"> - ใช้คุณลักษณะเฉพาะ สพฐ.ตร. เลขที่ 15/2558 ผบช.สพฐ.ตร. อนุมัติ ลง 31 ส.ค. 58
 - คณะกรรมการกำหนดราคากลาง เป็นเงิน 1,900,000 บาท
 - ขอรับความเห็นชอบ วันที่ 8 - 9 ต.ค.58 โดยวิธีสอบราคา
 - ประกาศสอบราคา วันที่ 10 -20 ต.ค. 58
 - เปิดซองสอบราคา วันที่ 21 ต.ค. 58
 - ลงนามในสัญญา 6 พ.ย. 58
 - กำหนดส่งมอบพัสดุภายใน 120 วัน (6 มี.ค. 59)</v>
      </c>
      <c r="J13" s="458"/>
      <c r="K13" s="459"/>
      <c r="L13" s="459"/>
      <c r="M13" s="575" t="str">
        <f>+[18]สพฐ.ตร.!M13</f>
        <v xml:space="preserve"> - เปิดซองสอบราคา วันที่ 21 ต.ค. 58 มีผู้เสนอราคา 1 ราย คือ บริษัท พาราไซแอนติฟิค จำกัด เสนอราคาเป็นเงิน 1,485,500 บาท
 - ลงนามในสัญญา 6 พ.ย. 58
 - กำหนดส่งมอบพัสดุภายใน 120 วัน (6 มี.ค. 59)</v>
      </c>
      <c r="N13" s="407">
        <v>1</v>
      </c>
      <c r="O13" s="400"/>
      <c r="P13" s="400"/>
      <c r="Q13" s="400"/>
      <c r="R13" s="400"/>
      <c r="S13" s="400"/>
    </row>
    <row r="14" spans="1:38" s="16" customFormat="1" ht="342" customHeight="1" x14ac:dyDescent="0.2">
      <c r="A14" s="261">
        <v>4</v>
      </c>
      <c r="B14" s="261"/>
      <c r="C14" s="574" t="s">
        <v>376</v>
      </c>
      <c r="D14" s="261" t="s">
        <v>23</v>
      </c>
      <c r="E14" s="473" t="s">
        <v>377</v>
      </c>
      <c r="F14" s="474">
        <v>220000</v>
      </c>
      <c r="G14" s="281"/>
      <c r="H14" s="281"/>
      <c r="I14" s="575" t="str">
        <f>+[18]สพฐ.ตร.!I14</f>
        <v xml:space="preserve"> - ใช้คุณลักษณะเฉพาะ สพฐ.ตร.เลขที่ 10-2549 ผบช.สนว.ตร. อนุมัติ ลง 13 ก.ค. 49
 - แต่งตั้งคณะกรรมการกำหนดราคากลาง วันที่ 11 ก.ย. 58
 - คณะกรรมการกำหนดราคากลาง จำนวน 154,916.63 บาท
 - อนุมัติใช้ราคากลาง วันที่ 24 ก.ย. 58
 - ประกาศราคากลาง วันที่ 24 ก.ย. 58
 - ขอรับความเห็นชอบและแต่งตั้งคณะกรรมการตรวจรับพัสดุ โดยวิธีตกลงราคา(ตาม ว.299) ลง 30 ก.ย. 58
 - ผบก.อก.สพฐ.ตร. อนุมัติจัดซื้อ ลง 8 ต.ค.58
 - ลงนามในสัญญา วันที่ 28 ต.ค. 58
 - กำหนดส่งมอบพัสดุ ภายใน 60 วัน (27 ธ.ค. 58)</v>
      </c>
      <c r="J14" s="458"/>
      <c r="K14" s="459"/>
      <c r="L14" s="459"/>
      <c r="M14" s="575" t="str">
        <f>+[18]สพฐ.ตร.!M14</f>
        <v xml:space="preserve"> - ลงนามในสัญญา วันที่ 28 ต.ค. 58
 - กำหนดส่งมอบพัสดุ ภายใน 60 วัน (27 ธ.ค. 58)</v>
      </c>
      <c r="N14" s="407">
        <v>1</v>
      </c>
      <c r="O14" s="400"/>
      <c r="P14" s="400"/>
      <c r="Q14" s="400"/>
      <c r="R14" s="400"/>
      <c r="S14" s="400"/>
    </row>
    <row r="15" spans="1:38" s="16" customFormat="1" ht="243" customHeight="1" x14ac:dyDescent="0.2">
      <c r="A15" s="425">
        <v>5</v>
      </c>
      <c r="B15" s="425"/>
      <c r="C15" s="572" t="s">
        <v>376</v>
      </c>
      <c r="D15" s="425" t="s">
        <v>23</v>
      </c>
      <c r="E15" s="470" t="s">
        <v>378</v>
      </c>
      <c r="F15" s="471">
        <v>3000000</v>
      </c>
      <c r="G15" s="426"/>
      <c r="H15" s="426"/>
      <c r="I15" s="573" t="str">
        <f>+[18]สพฐ.ตร.!I15</f>
        <v xml:space="preserve"> - ใช้คุณลักษณะเฉพาะ สพฐ.ตร. เลขที่ 9/2556 ผบช.สพฐ.ตร. อนุมัติ ลง 25 ก.ย. 56
 - ประกาศราคากลาง วันที่ 29 ก.ย.58
 - เผยแพร่ประกาศและเอกสารประกวดราคาฯ วันที่ 29 ก.ย. - 6 ต.ค. 58
 - ยื่นเสนอราคา วันที่ 12 ต.ค. 58 บริษัท พรพลอะนาลิติคอล จำกัด เสนอราคาต่ำสุด เป็นเงิน 3,000,000 บาท
 - ลงนามในสัญญา วันที่ 2 พ.ย. 58
 - กำหนดส่งมอบพัสดุ วันที่ 10 พ.ค. 58</v>
      </c>
      <c r="J15" s="458"/>
      <c r="K15" s="459"/>
      <c r="L15" s="459"/>
      <c r="M15" s="573" t="str">
        <f>+[18]สพฐ.ตร.!M15</f>
        <v xml:space="preserve"> - ลงนามในสัญญา วันที่ 6 พ.ย. 58
 - กำหนดส่งมอบพัสดุ วันที่ 3 พ.ค. 59</v>
      </c>
      <c r="N15" s="407">
        <v>2</v>
      </c>
      <c r="O15" s="400"/>
      <c r="P15" s="400"/>
      <c r="Q15" s="400"/>
      <c r="R15" s="400"/>
      <c r="S15" s="400"/>
    </row>
    <row r="16" spans="1:38" s="16" customFormat="1" ht="297.75" customHeight="1" x14ac:dyDescent="0.2">
      <c r="A16" s="425">
        <v>6</v>
      </c>
      <c r="B16" s="425"/>
      <c r="C16" s="572" t="s">
        <v>376</v>
      </c>
      <c r="D16" s="425" t="s">
        <v>23</v>
      </c>
      <c r="E16" s="470" t="s">
        <v>379</v>
      </c>
      <c r="F16" s="471">
        <v>12302000</v>
      </c>
      <c r="G16" s="426"/>
      <c r="H16" s="426"/>
      <c r="I16" s="573" t="str">
        <f>+[18]สพฐ.ตร.!I16</f>
        <v xml:space="preserve"> - เครื่องเขย่าสารละลาย DNA ใช้คุณลักษณะเฉพาะ สพฐ.ตร. เลขที่ 8/2559 ผบช.สพฐ.ตร. อนุมัติ ลง 31 ส.ค. 58
 - คณะกรรมการกำหนดราคากลาง เป็นเงิน 12,302,000 บาท
 - ประกาศราคากลาง วันที่ 30 ก.ย.58
 - เผยแพร่ประกาศและเอกสารประกวดราคาฯ วันที่ 13 - 20 ต.ค. 58
 - ยื่นเสนอราคา วันที่ 3 พ.ย. 58
 - อยู่ระหว่างพิจารณาผลการประกวดราคาและขออนุมัติซื้อ
 - กำหนดทำสัญญา วันที่ 11 พ.ย. 58
 - กำหนดส่งมอบพัสดุ วันที่ 10 เม.ย. 59</v>
      </c>
      <c r="J16" s="458"/>
      <c r="K16" s="459"/>
      <c r="L16" s="459"/>
      <c r="M16" s="573" t="str">
        <f>+[18]สพฐ.ตร.!M16</f>
        <v xml:space="preserve"> - บริษัท ยีนพลัส จำกัด เสนอราคาต่ำสุด เป็นเงิน 12,300,000 บาท
 - พิจารณาผลการประกวดราคาและขออนุมัติซื้อลงวันที่ 5 พ.ย.58
 - ลงนามในสัญญา วันที่ 19 พ.ย. 58
 - กำหนดส่งมอบพัสดุภายใน 180 วัน (วันที่ 16 พ.ค. 58)
 - กำหนดส่งมอบพัสดุภายใน 180 วัน (วันที่ 16 พ.ค. 59)</v>
      </c>
      <c r="N16" s="407">
        <v>2</v>
      </c>
      <c r="O16" s="400"/>
      <c r="P16" s="400"/>
      <c r="Q16" s="400"/>
      <c r="R16" s="400"/>
      <c r="S16" s="400"/>
    </row>
    <row r="17" spans="1:46" s="16" customFormat="1" ht="318.75" customHeight="1" x14ac:dyDescent="0.2">
      <c r="A17" s="425">
        <v>7</v>
      </c>
      <c r="B17" s="425"/>
      <c r="C17" s="572" t="s">
        <v>376</v>
      </c>
      <c r="D17" s="425" t="s">
        <v>23</v>
      </c>
      <c r="E17" s="470" t="s">
        <v>380</v>
      </c>
      <c r="F17" s="471">
        <v>3000000</v>
      </c>
      <c r="G17" s="426"/>
      <c r="H17" s="426"/>
      <c r="I17" s="573" t="str">
        <f>+[18]สพฐ.ตร.!I17</f>
        <v xml:space="preserve"> - ใช้คุณลักษณะเฉพาะ สพฐ.ตร.เลขที่ 9/2558 ผบช.สพฐ.ตร. อนุมัติ ลง 25 ก.ย. 58
 - คณะกรรมการกำหนดราคากลาง เป็นเงิน 3,000,000 บาท
 - ประกาศราคากลาง วันที่ 8 ต.ค. 58
 - ขอรับความเห็นชอบ  วันที่ 2 - 7 ต.ค. 58 โดยวิธี e - bidding
 - ประกาศเชิญชวนการประกวดราคาฯ วันที่ 8 -14 ต.ค. 58
 - ยื่นเสนอราคา วันที่ 20 ต.ค. 58
 - มีผู้เสนอราคา 1 ราย คือ บริษัท พรพลอะนาลิติคอล จำกัด เสนอราคาเป็นเงิน 3,000,000 บาท 
 - ลงนามในสัญญาวันที่ 9 พ.ย. 58
 - กำหนดส่งมอบพัสดุ วันที่ 9 มี.ค. 59</v>
      </c>
      <c r="J17" s="458"/>
      <c r="K17" s="459"/>
      <c r="L17" s="459"/>
      <c r="M17" s="573" t="str">
        <f>+[18]สพฐ.ตร.!M17</f>
        <v xml:space="preserve"> - ลงนามในสัญญา วันที่ 9 พ.ย. 58
 - กำหนดส่งมอบพัสดุภายใน 120 วัน (วันที่ 9 มี.ค. 59)</v>
      </c>
      <c r="N17" s="407">
        <v>2</v>
      </c>
      <c r="O17" s="400"/>
      <c r="P17" s="400"/>
      <c r="Q17" s="400"/>
      <c r="R17" s="400"/>
      <c r="S17" s="400"/>
    </row>
    <row r="18" spans="1:46" s="16" customFormat="1" ht="25.5" customHeight="1" x14ac:dyDescent="0.2">
      <c r="A18" s="14"/>
      <c r="B18" s="476"/>
      <c r="C18" s="476"/>
      <c r="D18" s="476"/>
      <c r="E18" s="477"/>
      <c r="F18" s="478"/>
      <c r="G18" s="31"/>
      <c r="H18" s="31"/>
      <c r="I18" s="576"/>
      <c r="J18" s="458"/>
      <c r="K18" s="459"/>
      <c r="L18" s="459"/>
      <c r="M18" s="576"/>
      <c r="N18" s="407"/>
      <c r="O18" s="400"/>
      <c r="P18" s="400"/>
      <c r="Q18" s="400"/>
      <c r="R18" s="400"/>
      <c r="S18" s="400"/>
    </row>
    <row r="19" spans="1:46" s="12" customFormat="1" x14ac:dyDescent="0.5">
      <c r="A19" s="232">
        <f>+A17</f>
        <v>7</v>
      </c>
      <c r="B19" s="232"/>
      <c r="C19" s="232"/>
      <c r="D19" s="232"/>
      <c r="E19" s="233" t="s">
        <v>58</v>
      </c>
      <c r="F19" s="297">
        <f>SUM(F11:F18)</f>
        <v>27022000</v>
      </c>
      <c r="G19" s="234">
        <f>SUM(G18:G18)</f>
        <v>0</v>
      </c>
      <c r="H19" s="234">
        <f>SUM(H18:H18)</f>
        <v>0</v>
      </c>
      <c r="I19" s="455"/>
      <c r="J19" s="456">
        <f>SUM(J18:J18)</f>
        <v>0</v>
      </c>
      <c r="K19" s="457">
        <f>SUM(K18:K18)</f>
        <v>0</v>
      </c>
      <c r="L19" s="457">
        <f>SUM(L18:L18)</f>
        <v>0</v>
      </c>
      <c r="M19" s="455"/>
      <c r="N19" s="406"/>
      <c r="O19" s="397">
        <f>+F19+G19</f>
        <v>27022000</v>
      </c>
      <c r="P19" s="398"/>
      <c r="Q19" s="398"/>
      <c r="R19" s="399"/>
      <c r="S19" s="399"/>
    </row>
    <row r="20" spans="1:46" s="16" customFormat="1" x14ac:dyDescent="0.2">
      <c r="A20" s="14"/>
      <c r="B20" s="14"/>
      <c r="C20" s="14"/>
      <c r="D20" s="14"/>
      <c r="E20" s="27" t="s">
        <v>59</v>
      </c>
      <c r="F20" s="30"/>
      <c r="G20" s="31"/>
      <c r="H20" s="31"/>
      <c r="I20" s="576"/>
      <c r="J20" s="458"/>
      <c r="K20" s="459"/>
      <c r="L20" s="459"/>
      <c r="M20" s="576"/>
      <c r="N20" s="407"/>
      <c r="O20" s="400"/>
      <c r="P20" s="400"/>
      <c r="Q20" s="400"/>
      <c r="R20" s="400"/>
      <c r="S20" s="400"/>
    </row>
    <row r="21" spans="1:46" s="284" customFormat="1" ht="331.5" customHeight="1" x14ac:dyDescent="0.2">
      <c r="A21" s="425">
        <v>1</v>
      </c>
      <c r="B21" s="425"/>
      <c r="C21" s="572" t="s">
        <v>381</v>
      </c>
      <c r="D21" s="425" t="s">
        <v>23</v>
      </c>
      <c r="E21" s="470" t="s">
        <v>382</v>
      </c>
      <c r="F21" s="471">
        <v>12205700</v>
      </c>
      <c r="G21" s="426"/>
      <c r="H21" s="426"/>
      <c r="I21" s="573" t="str">
        <f>+[18]สพฐ.ตร.!I23</f>
        <v xml:space="preserve"> - อนุมัติแต่งตั้ง คณะกรรมการกำหนดราคากลาง วันที่ 20 ส.ค. 58
 - เผยแพร่/ประกาศ ราคากลาง วันที่ 2 ก.ย. 58 เป็นเงิน 10,614,000 บาท
 - เผยแพร่ประกาศและเอกสารประกวดราคาฯ วันที่ 30 ก.ย. - 2 ต.ค. 58
 - ผลปรากฎว่าไม่มีผู้วิจารณ์
 - ขอรับความเห็นชอบและขออนุมัติแต่งตั้งคณะกรรมการพิจารณาผลการประกวดราคาอิเล็คทรอนิกส์,คณะกรรมการตรวจรับการจ้าง ลงวันที่ 30 ก.ย. 58
 - ประกาศประกวดราคาฯ วันที่ 5 - 12 ต.ค. 58
 - ยื่นเสนอราคา วันที่ 22 ต.ค. 58 มีผู้มายื่นเสนอราคา 1 ราย คือ ห้างหุ้นส่วนจำกัด พรชัย บูรพา เป็นเงิน 10,490,000 บาท
 - คณะกรรมการพิจารณาผลการประกวดราคาได้เชิญ ห้างหุ้นส่วนจำกัด พรชัยบูรพา มาต่อรองราคาเมื่อวันที่ 30 ต.ค. 58 เป็นเงิน 10,490,000 บาท
 - ประกาศผลผู้ชนะเสนอราคา วันที่ 3 พ.ย. 58
 - นัดลงนามในสัญญา วันที่ 20 พ.ย. 58</v>
      </c>
      <c r="J21" s="458"/>
      <c r="K21" s="459"/>
      <c r="L21" s="459"/>
      <c r="M21" s="573" t="str">
        <f>+[18]สพฐ.ตร.!M23</f>
        <v xml:space="preserve"> - ลงนามในสัญญา วันที่ 19 พ.ย. 58 พร้อมส่งมอบพื้นที่ให้เริ่มดำเนินการตามสัญญา ระยะเวลา 300 วัน (เริ่มตั้งแต่ 20 พ.ย. 58 - 6 ก.ย. 59)</v>
      </c>
      <c r="N21" s="407">
        <v>2</v>
      </c>
      <c r="O21" s="401"/>
      <c r="P21" s="401"/>
      <c r="Q21" s="401"/>
      <c r="R21" s="401"/>
      <c r="S21" s="401"/>
    </row>
    <row r="22" spans="1:46" s="284" customFormat="1" ht="67.5" customHeight="1" x14ac:dyDescent="0.2">
      <c r="A22" s="425">
        <v>2</v>
      </c>
      <c r="B22" s="425"/>
      <c r="C22" s="572" t="s">
        <v>381</v>
      </c>
      <c r="D22" s="425" t="s">
        <v>23</v>
      </c>
      <c r="E22" s="577" t="s">
        <v>383</v>
      </c>
      <c r="F22" s="578">
        <v>12551100</v>
      </c>
      <c r="G22" s="426"/>
      <c r="H22" s="426"/>
      <c r="I22" s="629">
        <f>+[18]สพฐ.ตร.!I24</f>
        <v>0</v>
      </c>
      <c r="J22" s="630"/>
      <c r="K22" s="631"/>
      <c r="L22" s="631"/>
      <c r="M22" s="629">
        <f>+[18]สพฐ.ตร.!M24</f>
        <v>0</v>
      </c>
      <c r="N22" s="407">
        <v>2</v>
      </c>
      <c r="O22" s="401"/>
      <c r="P22" s="401"/>
      <c r="Q22" s="401"/>
      <c r="R22" s="401"/>
      <c r="S22" s="401"/>
    </row>
    <row r="23" spans="1:46" s="284" customFormat="1" ht="65.25" x14ac:dyDescent="0.2">
      <c r="A23" s="425">
        <v>3</v>
      </c>
      <c r="B23" s="425"/>
      <c r="C23" s="572" t="s">
        <v>381</v>
      </c>
      <c r="D23" s="425" t="s">
        <v>23</v>
      </c>
      <c r="E23" s="577" t="s">
        <v>384</v>
      </c>
      <c r="F23" s="578">
        <v>14443800</v>
      </c>
      <c r="G23" s="426"/>
      <c r="H23" s="426"/>
      <c r="I23" s="629">
        <f>+[18]สพฐ.ตร.!I25</f>
        <v>0</v>
      </c>
      <c r="J23" s="630"/>
      <c r="K23" s="631"/>
      <c r="L23" s="631"/>
      <c r="M23" s="629">
        <f>+[18]สพฐ.ตร.!M25</f>
        <v>0</v>
      </c>
      <c r="N23" s="407">
        <v>2</v>
      </c>
      <c r="O23" s="401"/>
      <c r="P23" s="401"/>
      <c r="Q23" s="401"/>
      <c r="R23" s="401"/>
      <c r="S23" s="401"/>
    </row>
    <row r="24" spans="1:46" s="16" customFormat="1" ht="18" customHeight="1" x14ac:dyDescent="0.2">
      <c r="A24" s="14"/>
      <c r="B24" s="14"/>
      <c r="C24" s="14"/>
      <c r="D24" s="14"/>
      <c r="E24" s="477"/>
      <c r="F24" s="496"/>
      <c r="G24" s="31"/>
      <c r="H24" s="31"/>
      <c r="I24" s="31"/>
      <c r="J24" s="31"/>
      <c r="K24" s="15"/>
      <c r="L24" s="15"/>
      <c r="M24" s="31"/>
      <c r="N24" s="407"/>
      <c r="O24" s="400"/>
      <c r="P24" s="400"/>
      <c r="Q24" s="400"/>
      <c r="R24" s="400"/>
      <c r="S24" s="400"/>
    </row>
    <row r="25" spans="1:46" s="16" customFormat="1" ht="22.5" thickBot="1" x14ac:dyDescent="0.55000000000000004">
      <c r="A25" s="235">
        <f>+A23</f>
        <v>3</v>
      </c>
      <c r="B25" s="235"/>
      <c r="C25" s="235"/>
      <c r="D25" s="235"/>
      <c r="E25" s="236" t="s">
        <v>60</v>
      </c>
      <c r="F25" s="298">
        <f>SUM(F21:F24)</f>
        <v>39200600</v>
      </c>
      <c r="G25" s="298">
        <f>SUM(G21:G24)</f>
        <v>0</v>
      </c>
      <c r="H25" s="298">
        <f>SUM(H21:H24)</f>
        <v>0</v>
      </c>
      <c r="I25" s="237"/>
      <c r="J25" s="237">
        <f>SUM(J21:J24)</f>
        <v>0</v>
      </c>
      <c r="K25" s="237">
        <f>SUM(K21:K24)</f>
        <v>0</v>
      </c>
      <c r="L25" s="237">
        <f>SUM(L21:L24)</f>
        <v>0</v>
      </c>
      <c r="M25" s="237"/>
      <c r="N25" s="405"/>
      <c r="O25" s="402">
        <f>+F25+G25</f>
        <v>39200600</v>
      </c>
      <c r="P25" s="398"/>
      <c r="Q25" s="398"/>
      <c r="R25" s="400"/>
      <c r="S25" s="400"/>
    </row>
    <row r="26" spans="1:46" s="480" customFormat="1" ht="22.5" thickBot="1" x14ac:dyDescent="0.55000000000000004">
      <c r="A26" s="238">
        <f>+A19+A25</f>
        <v>10</v>
      </c>
      <c r="B26" s="239"/>
      <c r="C26" s="239"/>
      <c r="D26" s="239"/>
      <c r="E26" s="239" t="s">
        <v>385</v>
      </c>
      <c r="F26" s="299">
        <f>F19+F25</f>
        <v>66222600</v>
      </c>
      <c r="G26" s="289">
        <f>+G19+G25</f>
        <v>0</v>
      </c>
      <c r="H26" s="289">
        <f>+H19+H25</f>
        <v>0</v>
      </c>
      <c r="I26" s="240"/>
      <c r="J26" s="240">
        <f>J19+J25</f>
        <v>0</v>
      </c>
      <c r="K26" s="240">
        <f>K19+K25</f>
        <v>0</v>
      </c>
      <c r="L26" s="240">
        <f>L19+L25</f>
        <v>0</v>
      </c>
      <c r="M26" s="240"/>
      <c r="N26" s="408"/>
      <c r="O26" s="397">
        <f>+O19+O25</f>
        <v>66222600</v>
      </c>
      <c r="P26" s="479"/>
      <c r="Q26" s="479"/>
      <c r="R26" s="399"/>
      <c r="S26" s="399"/>
      <c r="T26" s="12"/>
      <c r="U26" s="12"/>
      <c r="V26" s="12"/>
      <c r="W26" s="12"/>
      <c r="X26" s="12"/>
      <c r="Y26" s="12"/>
      <c r="Z26" s="12"/>
      <c r="AA26" s="12"/>
    </row>
    <row r="27" spans="1:46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  <c r="N27" s="407"/>
      <c r="O27" s="400"/>
      <c r="P27" s="400"/>
      <c r="Q27" s="400"/>
      <c r="R27" s="400"/>
      <c r="S27" s="400"/>
    </row>
    <row r="28" spans="1:46" s="16" customFormat="1" x14ac:dyDescent="0.5">
      <c r="A28" s="481"/>
      <c r="B28" s="481"/>
      <c r="C28" s="481"/>
      <c r="D28" s="481"/>
      <c r="E28" s="482"/>
      <c r="F28" s="32"/>
      <c r="G28" s="375"/>
      <c r="H28" s="375"/>
      <c r="I28" s="375"/>
      <c r="J28" s="375"/>
      <c r="K28" s="376"/>
      <c r="L28" s="376"/>
      <c r="M28" s="375"/>
      <c r="N28" s="407"/>
      <c r="O28" s="400"/>
      <c r="P28" s="400"/>
      <c r="Q28" s="400"/>
      <c r="R28" s="400"/>
      <c r="S28" s="400"/>
    </row>
    <row r="30" spans="1:46" s="77" customFormat="1" x14ac:dyDescent="0.5">
      <c r="A30" s="483"/>
      <c r="B30" s="483"/>
      <c r="C30" s="483"/>
      <c r="D30" s="483"/>
      <c r="F30" s="270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x14ac:dyDescent="0.5">
      <c r="A31" s="483"/>
      <c r="B31" s="483"/>
      <c r="C31" s="483"/>
      <c r="D31" s="483"/>
      <c r="F31" s="270"/>
      <c r="G31" s="119"/>
      <c r="H31" s="119"/>
      <c r="I31" s="119"/>
      <c r="J31" s="119"/>
      <c r="K31" s="484"/>
      <c r="L31" s="484"/>
      <c r="M31" s="119"/>
      <c r="N31" s="465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F32" s="270"/>
      <c r="G32" s="119"/>
      <c r="H32" s="119"/>
      <c r="I32" s="119"/>
      <c r="J32" s="119"/>
      <c r="K32" s="484"/>
      <c r="L32" s="484"/>
      <c r="M32" s="119"/>
      <c r="N32" s="465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F33" s="270"/>
      <c r="G33" s="119"/>
      <c r="H33" s="119"/>
      <c r="I33" s="119"/>
      <c r="J33" s="119"/>
      <c r="K33" s="484"/>
      <c r="L33" s="484"/>
      <c r="M33" s="119"/>
      <c r="N33" s="465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</sheetData>
  <autoFilter ref="N1:N33"/>
  <mergeCells count="20">
    <mergeCell ref="M5:M8"/>
    <mergeCell ref="A1:M1"/>
    <mergeCell ref="A2:M2"/>
    <mergeCell ref="A3:M3"/>
    <mergeCell ref="Q5:Q8"/>
    <mergeCell ref="F4:G4"/>
    <mergeCell ref="E5:E8"/>
    <mergeCell ref="J5:J8"/>
    <mergeCell ref="A5:A8"/>
    <mergeCell ref="B5:B8"/>
    <mergeCell ref="P5:P8"/>
    <mergeCell ref="F6:F8"/>
    <mergeCell ref="D5:D8"/>
    <mergeCell ref="G6:G8"/>
    <mergeCell ref="C5:C8"/>
    <mergeCell ref="K5:K8"/>
    <mergeCell ref="L5:L8"/>
    <mergeCell ref="I5:I8"/>
    <mergeCell ref="F5:H5"/>
    <mergeCell ref="H6:H8"/>
  </mergeCells>
  <phoneticPr fontId="2" type="noConversion"/>
  <conditionalFormatting sqref="F15:F17 F21:F23">
    <cfRule type="cellIs" dxfId="55" priority="4" stopIfTrue="1" operator="between">
      <formula>2000001</formula>
      <formula>500000000</formula>
    </cfRule>
  </conditionalFormatting>
  <conditionalFormatting sqref="F11">
    <cfRule type="cellIs" dxfId="54" priority="3" stopIfTrue="1" operator="between">
      <formula>2000001</formula>
      <formula>500000000</formula>
    </cfRule>
  </conditionalFormatting>
  <conditionalFormatting sqref="F12:F13">
    <cfRule type="cellIs" dxfId="53" priority="2" stopIfTrue="1" operator="between">
      <formula>2000001</formula>
      <formula>500000000</formula>
    </cfRule>
  </conditionalFormatting>
  <conditionalFormatting sqref="F14">
    <cfRule type="cellIs" dxfId="52" priority="1" stopIfTrue="1" operator="between">
      <formula>2000001</formula>
      <formula>500000000</formula>
    </cfRule>
  </conditionalFormatting>
  <pageMargins left="0.35433070866141736" right="0.35433070866141736" top="0.78740157480314965" bottom="0.62992125984251968" header="0.15748031496062992" footer="0.35433070866141736"/>
  <pageSetup paperSize="9" scale="80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5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7" style="486" customWidth="1"/>
    <col min="5" max="5" width="42.42578125" style="460" customWidth="1"/>
    <col min="6" max="6" width="14.85546875" style="559" customWidth="1"/>
    <col min="7" max="7" width="13.85546875" style="488" customWidth="1"/>
    <col min="8" max="8" width="13.85546875" style="488" hidden="1" customWidth="1"/>
    <col min="9" max="9" width="28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8.5703125" style="488" customWidth="1"/>
    <col min="14" max="14" width="4.140625" style="465" customWidth="1"/>
    <col min="15" max="15" width="19.5703125" style="399" bestFit="1" customWidth="1"/>
    <col min="16" max="16" width="9.140625" style="399"/>
    <col min="17" max="17" width="14.5703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8</v>
      </c>
      <c r="Q2" s="397">
        <f>+F11+F12+F13+F18+F19+F14+F15+F16</f>
        <v>5247900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2</v>
      </c>
      <c r="Q3" s="462">
        <f>+F17+F20</f>
        <v>202860000</v>
      </c>
      <c r="R3" s="463">
        <v>2</v>
      </c>
      <c r="S3" s="462">
        <f>+F25+F24</f>
        <v>29473200</v>
      </c>
      <c r="T3" s="460"/>
      <c r="U3" s="460"/>
      <c r="V3" s="460"/>
      <c r="W3" s="460"/>
      <c r="X3" s="460"/>
      <c r="Y3" s="460"/>
      <c r="Z3" s="460"/>
      <c r="AA3" s="460"/>
    </row>
    <row r="4" spans="1:38" ht="13.5" customHeight="1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64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65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65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66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24</v>
      </c>
      <c r="F9" s="10"/>
      <c r="G9" s="100"/>
      <c r="H9" s="100"/>
      <c r="I9" s="100"/>
      <c r="J9" s="264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263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74.25" customHeight="1" x14ac:dyDescent="0.2">
      <c r="A11" s="261">
        <v>1</v>
      </c>
      <c r="B11" s="579"/>
      <c r="C11" s="475" t="s">
        <v>80</v>
      </c>
      <c r="D11" s="579" t="s">
        <v>24</v>
      </c>
      <c r="E11" s="555" t="s">
        <v>386</v>
      </c>
      <c r="F11" s="534">
        <v>368000</v>
      </c>
      <c r="G11" s="321"/>
      <c r="H11" s="321"/>
      <c r="I11" s="508" t="str">
        <f>+[19]สทส.!I11</f>
        <v>อยู่ระหว่างเรียกบริษัทลงนามในสัญญา</v>
      </c>
      <c r="J11" s="263"/>
      <c r="K11" s="15"/>
      <c r="L11" s="15"/>
      <c r="M11" s="508" t="str">
        <f>+[19]สทส.!M11</f>
        <v>ลงนามในสัญญาแล้ว เมื่อวันที่ 23 พ.ย.58 คาดว่าจะสามารถส่งของได้ภายในเดือน ธ.ค.58 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customHeight="1" x14ac:dyDescent="0.2">
      <c r="A12" s="261">
        <v>2</v>
      </c>
      <c r="B12" s="579"/>
      <c r="C12" s="475" t="s">
        <v>80</v>
      </c>
      <c r="D12" s="579" t="s">
        <v>24</v>
      </c>
      <c r="E12" s="555" t="s">
        <v>387</v>
      </c>
      <c r="F12" s="534">
        <v>200000</v>
      </c>
      <c r="G12" s="321"/>
      <c r="H12" s="321"/>
      <c r="I12" s="508" t="str">
        <f>+[19]สทส.!I12</f>
        <v>อยู่ระหว่างเรียกบริษัทลงนามในสัญญา</v>
      </c>
      <c r="J12" s="263"/>
      <c r="K12" s="15"/>
      <c r="L12" s="15"/>
      <c r="M12" s="508" t="str">
        <f>+[19]สทส.!M12</f>
        <v>อยู่ระหว่างเรียกบริษัทมาลงนามในสัญญา</v>
      </c>
      <c r="N12" s="407">
        <v>1</v>
      </c>
      <c r="O12" s="400"/>
      <c r="P12" s="400"/>
      <c r="Q12" s="400"/>
      <c r="R12" s="400"/>
      <c r="S12" s="400"/>
    </row>
    <row r="13" spans="1:38" s="16" customFormat="1" ht="65.25" customHeight="1" x14ac:dyDescent="0.2">
      <c r="A13" s="261">
        <v>3</v>
      </c>
      <c r="B13" s="579"/>
      <c r="C13" s="475" t="s">
        <v>80</v>
      </c>
      <c r="D13" s="579" t="s">
        <v>24</v>
      </c>
      <c r="E13" s="555" t="s">
        <v>388</v>
      </c>
      <c r="F13" s="534">
        <v>29200</v>
      </c>
      <c r="G13" s="321"/>
      <c r="H13" s="321"/>
      <c r="I13" s="508" t="str">
        <f>+[19]สทส.!I13</f>
        <v>อยู่ระหว่างเรียกบริษัทลงนามในสัญญา</v>
      </c>
      <c r="J13" s="263"/>
      <c r="K13" s="15"/>
      <c r="L13" s="15"/>
      <c r="M13" s="508" t="str">
        <f>+[19]สทส.!M13</f>
        <v>อยู่ระหว่างเรียกบริษัทมาลงนามในสัญญา</v>
      </c>
      <c r="N13" s="407">
        <v>1</v>
      </c>
      <c r="O13" s="400"/>
      <c r="P13" s="400"/>
      <c r="Q13" s="400"/>
      <c r="R13" s="400"/>
      <c r="S13" s="400"/>
    </row>
    <row r="14" spans="1:38" s="16" customFormat="1" ht="70.5" customHeight="1" x14ac:dyDescent="0.2">
      <c r="A14" s="261">
        <v>4</v>
      </c>
      <c r="B14" s="579"/>
      <c r="C14" s="475" t="s">
        <v>80</v>
      </c>
      <c r="D14" s="579" t="s">
        <v>24</v>
      </c>
      <c r="E14" s="555" t="s">
        <v>389</v>
      </c>
      <c r="F14" s="534">
        <v>20000</v>
      </c>
      <c r="G14" s="321"/>
      <c r="H14" s="321"/>
      <c r="I14" s="508" t="str">
        <f>+[19]สทส.!I14</f>
        <v>อยู่ระหว่าง การทำประชาพิจารณ์</v>
      </c>
      <c r="J14" s="263"/>
      <c r="K14" s="15"/>
      <c r="L14" s="15"/>
      <c r="M14" s="508" t="str">
        <f>+[19]สทส.!M14</f>
        <v>อยู่ระหว่างขออนุมัติจัดซื้อ คาดว่าจะสามารถลงนามฯ ได้ภายในวันที่ 27 พ.ย.57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579"/>
      <c r="C15" s="475" t="s">
        <v>80</v>
      </c>
      <c r="D15" s="579" t="s">
        <v>24</v>
      </c>
      <c r="E15" s="555" t="s">
        <v>390</v>
      </c>
      <c r="F15" s="534">
        <v>330700</v>
      </c>
      <c r="G15" s="321"/>
      <c r="H15" s="321"/>
      <c r="I15" s="508" t="str">
        <f>+[19]สทส.!I15</f>
        <v>อยู่ระหว่างร่าง TOR</v>
      </c>
      <c r="J15" s="263"/>
      <c r="K15" s="15"/>
      <c r="L15" s="15"/>
      <c r="M15" s="508" t="str">
        <f>+[19]สทส.!M15</f>
        <v>  อยู่ระหว่างขั้นตอนคณะกรรมการกำหนดราคากลาง  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579"/>
      <c r="C16" s="475" t="s">
        <v>80</v>
      </c>
      <c r="D16" s="579" t="s">
        <v>24</v>
      </c>
      <c r="E16" s="555" t="s">
        <v>391</v>
      </c>
      <c r="F16" s="534">
        <v>300000</v>
      </c>
      <c r="G16" s="321"/>
      <c r="H16" s="321"/>
      <c r="I16" s="508" t="str">
        <f>+[19]สทส.!I16</f>
        <v>อยู่ระหว่างจัดหา</v>
      </c>
      <c r="J16" s="263"/>
      <c r="K16" s="15"/>
      <c r="L16" s="15"/>
      <c r="M16" s="508" t="str">
        <f>+[19]สทส.!M16</f>
        <v> อยู่ระหว่างขั้นตอนคณะกรรมการกำหนดราคากลาง </v>
      </c>
      <c r="N16" s="407">
        <v>1</v>
      </c>
      <c r="O16" s="400"/>
      <c r="P16" s="400"/>
      <c r="Q16" s="400"/>
      <c r="R16" s="400"/>
      <c r="S16" s="400"/>
    </row>
    <row r="17" spans="1:46" s="16" customFormat="1" ht="65.25" customHeight="1" x14ac:dyDescent="0.2">
      <c r="A17" s="425">
        <v>7</v>
      </c>
      <c r="B17" s="580"/>
      <c r="C17" s="506" t="s">
        <v>80</v>
      </c>
      <c r="D17" s="580" t="s">
        <v>24</v>
      </c>
      <c r="E17" s="541" t="s">
        <v>392</v>
      </c>
      <c r="F17" s="526">
        <v>20000000</v>
      </c>
      <c r="G17" s="428"/>
      <c r="H17" s="428"/>
      <c r="I17" s="505" t="str">
        <f>+[19]สทส.!I17</f>
        <v>อยู่ระหว่าง การทำประชาพิจารณ์</v>
      </c>
      <c r="J17" s="545"/>
      <c r="K17" s="535"/>
      <c r="L17" s="535"/>
      <c r="M17" s="505" t="str">
        <f>+[19]สทส.!M17</f>
        <v>  อยู่ระหว่างขออนุมัติใช้ TOR และกำหนดราคากลาง </v>
      </c>
      <c r="N17" s="407">
        <v>2</v>
      </c>
      <c r="O17" s="400"/>
      <c r="P17" s="400"/>
      <c r="Q17" s="400"/>
      <c r="R17" s="400"/>
      <c r="S17" s="400"/>
    </row>
    <row r="18" spans="1:46" s="16" customFormat="1" ht="65.25" customHeight="1" x14ac:dyDescent="0.2">
      <c r="A18" s="261">
        <v>8</v>
      </c>
      <c r="B18" s="579"/>
      <c r="C18" s="475" t="s">
        <v>80</v>
      </c>
      <c r="D18" s="579" t="s">
        <v>24</v>
      </c>
      <c r="E18" s="555" t="s">
        <v>393</v>
      </c>
      <c r="F18" s="534">
        <v>2000000</v>
      </c>
      <c r="G18" s="321"/>
      <c r="H18" s="321"/>
      <c r="I18" s="508" t="str">
        <f>+[19]สทส.!I18</f>
        <v>อยู่ระหว่างร่าง TOR</v>
      </c>
      <c r="J18" s="263"/>
      <c r="K18" s="15"/>
      <c r="L18" s="15"/>
      <c r="M18" s="508" t="str">
        <f>+[19]สทส.!M18</f>
        <v>  อยู่ระหว่างขั้นตอนคณะกรรมการกำหนดราคากลาง  </v>
      </c>
      <c r="N18" s="407">
        <v>1</v>
      </c>
      <c r="O18" s="400"/>
      <c r="P18" s="400"/>
      <c r="Q18" s="400"/>
      <c r="R18" s="400"/>
      <c r="S18" s="400"/>
    </row>
    <row r="19" spans="1:46" s="16" customFormat="1" ht="87" x14ac:dyDescent="0.2">
      <c r="A19" s="261">
        <v>9</v>
      </c>
      <c r="B19" s="579"/>
      <c r="C19" s="475" t="s">
        <v>80</v>
      </c>
      <c r="D19" s="579" t="s">
        <v>24</v>
      </c>
      <c r="E19" s="555" t="s">
        <v>394</v>
      </c>
      <c r="F19" s="534">
        <v>2000000</v>
      </c>
      <c r="G19" s="321"/>
      <c r="H19" s="321"/>
      <c r="I19" s="508" t="str">
        <f>+[19]สทส.!I19</f>
        <v>อยู่ระหว่างร่าง TOR</v>
      </c>
      <c r="J19" s="263"/>
      <c r="K19" s="15"/>
      <c r="L19" s="15"/>
      <c r="M19" s="508" t="str">
        <f>+[19]สทส.!M19</f>
        <v>  อยู่ระหว่างขั้นตอนคณะกรรมการกำหนดราคากลาง  </v>
      </c>
      <c r="N19" s="407">
        <v>1</v>
      </c>
      <c r="O19" s="400"/>
      <c r="P19" s="400"/>
      <c r="Q19" s="400"/>
      <c r="R19" s="400"/>
      <c r="S19" s="400"/>
    </row>
    <row r="20" spans="1:46" s="16" customFormat="1" ht="65.25" x14ac:dyDescent="0.2">
      <c r="A20" s="425">
        <v>10</v>
      </c>
      <c r="B20" s="580"/>
      <c r="C20" s="506" t="s">
        <v>80</v>
      </c>
      <c r="D20" s="580" t="s">
        <v>24</v>
      </c>
      <c r="E20" s="541" t="s">
        <v>395</v>
      </c>
      <c r="F20" s="526">
        <v>182860000</v>
      </c>
      <c r="G20" s="428"/>
      <c r="H20" s="428"/>
      <c r="I20" s="505" t="str">
        <f>+[19]สทส.!I20</f>
        <v>อยู่ระหว่างร่าง TOR</v>
      </c>
      <c r="J20" s="545"/>
      <c r="K20" s="535"/>
      <c r="L20" s="535"/>
      <c r="M20" s="505" t="str">
        <f>+[19]สทส.!M20</f>
        <v>อยู่ระหว่างร่าง TOR</v>
      </c>
      <c r="N20" s="407">
        <v>2</v>
      </c>
      <c r="O20" s="400"/>
      <c r="P20" s="400"/>
      <c r="Q20" s="400"/>
      <c r="R20" s="400"/>
      <c r="S20" s="400"/>
    </row>
    <row r="21" spans="1:46" s="16" customFormat="1" ht="23.25" customHeight="1" x14ac:dyDescent="0.2">
      <c r="A21" s="14"/>
      <c r="B21" s="476"/>
      <c r="C21" s="476"/>
      <c r="D21" s="476"/>
      <c r="E21" s="477"/>
      <c r="F21" s="478"/>
      <c r="G21" s="31"/>
      <c r="H21" s="31"/>
      <c r="I21" s="31"/>
      <c r="J21" s="263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46" s="12" customFormat="1" x14ac:dyDescent="0.5">
      <c r="A22" s="232">
        <f>+A20</f>
        <v>10</v>
      </c>
      <c r="B22" s="232"/>
      <c r="C22" s="232"/>
      <c r="D22" s="232"/>
      <c r="E22" s="233" t="s">
        <v>58</v>
      </c>
      <c r="F22" s="297">
        <f>SUM(F11:F21)</f>
        <v>208107900</v>
      </c>
      <c r="G22" s="234">
        <f>SUM(G11:G11)</f>
        <v>0</v>
      </c>
      <c r="H22" s="234">
        <f>SUM(H11:H11)</f>
        <v>0</v>
      </c>
      <c r="I22" s="234"/>
      <c r="J22" s="268">
        <f>SUM(J11:J11)</f>
        <v>0</v>
      </c>
      <c r="K22" s="234">
        <f>SUM(K11:K11)</f>
        <v>0</v>
      </c>
      <c r="L22" s="234">
        <f>SUM(L11:L11)</f>
        <v>0</v>
      </c>
      <c r="M22" s="234"/>
      <c r="N22" s="406"/>
      <c r="O22" s="397">
        <f>+F22+G22</f>
        <v>208107900</v>
      </c>
      <c r="P22" s="398"/>
      <c r="Q22" s="398"/>
      <c r="R22" s="399"/>
      <c r="S22" s="399"/>
    </row>
    <row r="23" spans="1:46" s="16" customFormat="1" x14ac:dyDescent="0.2">
      <c r="A23" s="14"/>
      <c r="B23" s="14"/>
      <c r="C23" s="14"/>
      <c r="D23" s="14"/>
      <c r="E23" s="27" t="s">
        <v>59</v>
      </c>
      <c r="F23" s="304"/>
      <c r="G23" s="31"/>
      <c r="H23" s="31"/>
      <c r="I23" s="31"/>
      <c r="J23" s="263"/>
      <c r="K23" s="15"/>
      <c r="L23" s="15"/>
      <c r="M23" s="31"/>
      <c r="N23" s="407"/>
      <c r="O23" s="400"/>
      <c r="P23" s="400"/>
      <c r="Q23" s="400"/>
      <c r="R23" s="400"/>
      <c r="S23" s="400"/>
    </row>
    <row r="24" spans="1:46" s="16" customFormat="1" ht="239.25" x14ac:dyDescent="0.2">
      <c r="A24" s="425">
        <v>1</v>
      </c>
      <c r="B24" s="424"/>
      <c r="C24" s="506" t="s">
        <v>80</v>
      </c>
      <c r="D24" s="425" t="s">
        <v>24</v>
      </c>
      <c r="E24" s="541" t="s">
        <v>396</v>
      </c>
      <c r="F24" s="526">
        <v>8257200</v>
      </c>
      <c r="G24" s="423"/>
      <c r="H24" s="423"/>
      <c r="I24" s="539" t="str">
        <f>+[19]สทส.!I24</f>
        <v>ขณะนี้ สส. ได้ทำหนังสือไปที่ สกบ.(ยธ) เพื่อขอแบบและกรรมการกำหนดราคากลาง     (อยู่ระหว่างรอหนังสือตอบกลับ) ส่วนอาคารเรือนแถวฯ จังหวัดพิษณุโลก (ศบส.6พล) และอาคารที่ทำการสงขลา (ฝสส.7 สส.) เป็นการก่อสร้างในพื้นที่อาคารเดิม ขณะนี้อยู่ระหว่าง คณะกรรมการของ สส. ร่วมกับโยธาจังหวัดประเมินราคากลางเพื่อจำหน่ายอาคารเดิม</v>
      </c>
      <c r="J24" s="545"/>
      <c r="K24" s="535"/>
      <c r="L24" s="535"/>
      <c r="M24" s="505" t="str">
        <f>+[19]สทส.!M24</f>
        <v>  - อยู่ระหว่างการแต่งตั้งคณะกรรมการกำหนดราคากลาง เพื่อประกวดราคา (E-Bidding)
 - สำหรับอาคารเรือนแถวจังหวัดพิษณุโลก ที่เป็นการก่อสร้างในพื้นที่อาคารเดิม กำหนดประกาศขายทอดตลาด 26 พ.ย. - 11 ธ.ค.58 และกำหนดเสนอราคา 14 ธ.ค.58 </v>
      </c>
      <c r="N24" s="407">
        <v>2</v>
      </c>
      <c r="O24" s="400"/>
      <c r="P24" s="400"/>
      <c r="Q24" s="400"/>
      <c r="R24" s="400"/>
      <c r="S24" s="400"/>
    </row>
    <row r="25" spans="1:46" s="16" customFormat="1" ht="189.75" customHeight="1" x14ac:dyDescent="0.2">
      <c r="A25" s="425">
        <v>2</v>
      </c>
      <c r="B25" s="424"/>
      <c r="C25" s="506" t="s">
        <v>80</v>
      </c>
      <c r="D25" s="425" t="s">
        <v>24</v>
      </c>
      <c r="E25" s="541" t="s">
        <v>397</v>
      </c>
      <c r="F25" s="526">
        <v>21216000</v>
      </c>
      <c r="G25" s="423"/>
      <c r="H25" s="423"/>
      <c r="I25" s="505">
        <f>+[19]สทส.!I25</f>
        <v>0</v>
      </c>
      <c r="J25" s="545"/>
      <c r="K25" s="535"/>
      <c r="L25" s="535"/>
      <c r="M25" s="505" t="str">
        <f>+[19]สทส.!M25</f>
        <v>  - อยู่ระหว่างการแต่งตั้งคณะกรรมการกำหนดราคากลาง เพื่อประกวดราคา (E-Bidding)
 - สำหรับอาคารที่ทำการ ฝสส.7 สส. ที่เป็นการก่อสร้างในพื้นที่อาคารเดิม กำหนดประกาศขายทอดตลาด 27 พ.ย. - 14 ธ.ค.58 และกำหนดเสนอราคา 15 ธ.ค.58   </v>
      </c>
      <c r="N25" s="407">
        <v>2</v>
      </c>
      <c r="O25" s="400"/>
      <c r="P25" s="400"/>
      <c r="Q25" s="400"/>
      <c r="R25" s="400"/>
      <c r="S25" s="400"/>
    </row>
    <row r="26" spans="1:46" s="16" customFormat="1" ht="21" customHeight="1" x14ac:dyDescent="0.2">
      <c r="A26" s="14"/>
      <c r="B26" s="14"/>
      <c r="C26" s="14"/>
      <c r="D26" s="14"/>
      <c r="E26" s="477"/>
      <c r="F26" s="496"/>
      <c r="G26" s="31"/>
      <c r="H26" s="31"/>
      <c r="I26" s="31"/>
      <c r="J26" s="263"/>
      <c r="K26" s="15"/>
      <c r="L26" s="15"/>
      <c r="M26" s="31"/>
      <c r="N26" s="407"/>
      <c r="O26" s="400"/>
      <c r="P26" s="400"/>
      <c r="Q26" s="400"/>
      <c r="R26" s="400"/>
      <c r="S26" s="400"/>
    </row>
    <row r="27" spans="1:46" s="16" customFormat="1" ht="22.5" thickBot="1" x14ac:dyDescent="0.55000000000000004">
      <c r="A27" s="235">
        <f>+A25</f>
        <v>2</v>
      </c>
      <c r="B27" s="235"/>
      <c r="C27" s="235"/>
      <c r="D27" s="235"/>
      <c r="E27" s="236" t="s">
        <v>60</v>
      </c>
      <c r="F27" s="298">
        <f>SUM(F24:F26)</f>
        <v>29473200</v>
      </c>
      <c r="G27" s="237">
        <f>SUM(G26:G26)</f>
        <v>0</v>
      </c>
      <c r="H27" s="237">
        <f>SUM(H26:H26)</f>
        <v>0</v>
      </c>
      <c r="I27" s="237"/>
      <c r="J27" s="269">
        <f>SUM(J26:J26)</f>
        <v>0</v>
      </c>
      <c r="K27" s="237">
        <f>SUM(K26:K26)</f>
        <v>0</v>
      </c>
      <c r="L27" s="237">
        <f>SUM(L26:L26)</f>
        <v>0</v>
      </c>
      <c r="M27" s="237"/>
      <c r="N27" s="405"/>
      <c r="O27" s="402">
        <f>+F27+G27</f>
        <v>29473200</v>
      </c>
      <c r="P27" s="398"/>
      <c r="Q27" s="398"/>
      <c r="R27" s="400"/>
      <c r="S27" s="400"/>
    </row>
    <row r="28" spans="1:46" s="480" customFormat="1" ht="22.5" thickBot="1" x14ac:dyDescent="0.55000000000000004">
      <c r="A28" s="238">
        <f>+A22+A27</f>
        <v>12</v>
      </c>
      <c r="B28" s="239"/>
      <c r="C28" s="239"/>
      <c r="D28" s="239"/>
      <c r="E28" s="239" t="s">
        <v>398</v>
      </c>
      <c r="F28" s="299">
        <f>F22+F27</f>
        <v>237581100</v>
      </c>
      <c r="G28" s="289">
        <f>+G22+G27</f>
        <v>0</v>
      </c>
      <c r="H28" s="289">
        <f>+H22+H27</f>
        <v>0</v>
      </c>
      <c r="I28" s="240"/>
      <c r="J28" s="267">
        <f>J22+J27</f>
        <v>0</v>
      </c>
      <c r="K28" s="240">
        <f>K22+K27</f>
        <v>0</v>
      </c>
      <c r="L28" s="240">
        <f>L22+L27</f>
        <v>0</v>
      </c>
      <c r="M28" s="240"/>
      <c r="N28" s="408"/>
      <c r="O28" s="397">
        <f>+O22+O27</f>
        <v>237581100</v>
      </c>
      <c r="P28" s="479"/>
      <c r="Q28" s="479"/>
      <c r="R28" s="399"/>
      <c r="S28" s="399"/>
      <c r="T28" s="12"/>
      <c r="U28" s="12"/>
      <c r="V28" s="12"/>
      <c r="W28" s="12"/>
      <c r="X28" s="12"/>
      <c r="Y28" s="12"/>
      <c r="Z28" s="12"/>
      <c r="AA28" s="12"/>
    </row>
    <row r="29" spans="1:46" s="16" customFormat="1" x14ac:dyDescent="0.2">
      <c r="A29" s="481"/>
      <c r="B29" s="481"/>
      <c r="C29" s="481"/>
      <c r="D29" s="481"/>
      <c r="E29" s="482"/>
      <c r="F29" s="558"/>
      <c r="G29" s="375"/>
      <c r="H29" s="375"/>
      <c r="I29" s="375"/>
      <c r="J29" s="375"/>
      <c r="K29" s="376"/>
      <c r="L29" s="376"/>
      <c r="M29" s="375"/>
      <c r="N29" s="407"/>
      <c r="O29" s="400"/>
      <c r="P29" s="400"/>
      <c r="Q29" s="400"/>
      <c r="R29" s="400"/>
      <c r="S29" s="400"/>
    </row>
    <row r="30" spans="1:46" s="16" customFormat="1" x14ac:dyDescent="0.5">
      <c r="A30" s="481"/>
      <c r="B30" s="481"/>
      <c r="C30" s="481"/>
      <c r="D30" s="481"/>
      <c r="E30" s="482"/>
      <c r="F30" s="32"/>
      <c r="G30" s="375"/>
      <c r="H30" s="375"/>
      <c r="I30" s="375"/>
      <c r="J30" s="375"/>
      <c r="K30" s="376"/>
      <c r="L30" s="376"/>
      <c r="M30" s="375"/>
      <c r="N30" s="407"/>
      <c r="O30" s="400"/>
      <c r="P30" s="400"/>
      <c r="Q30" s="400"/>
      <c r="R30" s="400"/>
      <c r="S30" s="400"/>
    </row>
    <row r="32" spans="1:46" s="77" customFormat="1" x14ac:dyDescent="0.5">
      <c r="A32" s="483"/>
      <c r="B32" s="483"/>
      <c r="C32" s="483"/>
      <c r="D32" s="483"/>
      <c r="F32" s="270"/>
      <c r="G32" s="119"/>
      <c r="H32" s="119"/>
      <c r="I32" s="119"/>
      <c r="J32" s="119"/>
      <c r="K32" s="484"/>
      <c r="L32" s="484"/>
      <c r="M32" s="119"/>
      <c r="N32" s="465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F33" s="270"/>
      <c r="G33" s="119"/>
      <c r="H33" s="119"/>
      <c r="I33" s="119"/>
      <c r="J33" s="119"/>
      <c r="K33" s="484"/>
      <c r="L33" s="484"/>
      <c r="M33" s="119"/>
      <c r="N33" s="465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  <row r="34" spans="1:46" s="77" customFormat="1" x14ac:dyDescent="0.5">
      <c r="A34" s="483"/>
      <c r="B34" s="483"/>
      <c r="C34" s="483"/>
      <c r="D34" s="483"/>
      <c r="F34" s="270"/>
      <c r="G34" s="119"/>
      <c r="H34" s="119"/>
      <c r="I34" s="119"/>
      <c r="J34" s="119"/>
      <c r="K34" s="484"/>
      <c r="L34" s="484"/>
      <c r="M34" s="119"/>
      <c r="N34" s="465"/>
      <c r="O34" s="399"/>
      <c r="P34" s="399"/>
      <c r="Q34" s="399"/>
      <c r="R34" s="399"/>
      <c r="S34" s="399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</row>
    <row r="35" spans="1:46" s="77" customFormat="1" x14ac:dyDescent="0.5">
      <c r="A35" s="483"/>
      <c r="B35" s="483"/>
      <c r="C35" s="483"/>
      <c r="D35" s="483"/>
      <c r="F35" s="270"/>
      <c r="G35" s="119"/>
      <c r="H35" s="119"/>
      <c r="I35" s="119"/>
      <c r="J35" s="119"/>
      <c r="K35" s="484"/>
      <c r="L35" s="484"/>
      <c r="M35" s="119"/>
      <c r="N35" s="465"/>
      <c r="O35" s="399"/>
      <c r="P35" s="399"/>
      <c r="Q35" s="399"/>
      <c r="R35" s="399"/>
      <c r="S35" s="399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5"/>
      <c r="AT35" s="485"/>
    </row>
  </sheetData>
  <autoFilter ref="N1:N35"/>
  <mergeCells count="20">
    <mergeCell ref="C5:C8"/>
    <mergeCell ref="F5:H5"/>
    <mergeCell ref="A1:M1"/>
    <mergeCell ref="A2:M2"/>
    <mergeCell ref="A3:M3"/>
    <mergeCell ref="A5:A8"/>
    <mergeCell ref="B5:B8"/>
    <mergeCell ref="D5:D8"/>
    <mergeCell ref="Q5:Q8"/>
    <mergeCell ref="F4:G4"/>
    <mergeCell ref="E5:E8"/>
    <mergeCell ref="J5:J8"/>
    <mergeCell ref="I5:I8"/>
    <mergeCell ref="G6:G8"/>
    <mergeCell ref="P5:P8"/>
    <mergeCell ref="F6:F8"/>
    <mergeCell ref="H6:H8"/>
    <mergeCell ref="M5:M8"/>
    <mergeCell ref="K5:K8"/>
    <mergeCell ref="L5:L8"/>
  </mergeCells>
  <phoneticPr fontId="2" type="noConversion"/>
  <conditionalFormatting sqref="F11:F14 F25 F17:F20">
    <cfRule type="cellIs" dxfId="51" priority="5" stopIfTrue="1" operator="between">
      <formula>2000001</formula>
      <formula>500000000</formula>
    </cfRule>
    <cfRule type="cellIs" dxfId="50" priority="6" stopIfTrue="1" operator="between">
      <formula>2000001</formula>
      <formula>500000000</formula>
    </cfRule>
  </conditionalFormatting>
  <conditionalFormatting sqref="F15:F16">
    <cfRule type="cellIs" dxfId="49" priority="3" stopIfTrue="1" operator="between">
      <formula>2000001</formula>
      <formula>500000000</formula>
    </cfRule>
    <cfRule type="cellIs" dxfId="48" priority="4" stopIfTrue="1" operator="between">
      <formula>2000001</formula>
      <formula>500000000</formula>
    </cfRule>
  </conditionalFormatting>
  <conditionalFormatting sqref="F24">
    <cfRule type="cellIs" dxfId="47" priority="1" stopIfTrue="1" operator="between">
      <formula>2000001</formula>
      <formula>500000000</formula>
    </cfRule>
    <cfRule type="cellIs" dxfId="46" priority="2" stopIfTrue="1" operator="between">
      <formula>2000001</formula>
      <formula>500000000</formula>
    </cfRule>
  </conditionalFormatting>
  <pageMargins left="0.74803149606299213" right="0.74803149606299213" top="0.6692913385826772" bottom="0.27559055118110237" header="0.27559055118110237" footer="0.39370078740157483"/>
  <pageSetup paperSize="9" scale="85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5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140625" style="486" customWidth="1"/>
    <col min="5" max="5" width="42" style="460" customWidth="1"/>
    <col min="6" max="6" width="15" style="559" customWidth="1"/>
    <col min="7" max="7" width="13.140625" style="488" customWidth="1"/>
    <col min="8" max="8" width="13.140625" style="488" hidden="1" customWidth="1"/>
    <col min="9" max="9" width="35.140625" style="488" customWidth="1"/>
    <col min="10" max="10" width="13.140625" style="488" hidden="1" customWidth="1"/>
    <col min="11" max="11" width="12.140625" style="464" hidden="1" customWidth="1"/>
    <col min="12" max="12" width="21.85546875" style="464" hidden="1" customWidth="1"/>
    <col min="13" max="13" width="37.85546875" style="488" customWidth="1"/>
    <col min="14" max="14" width="4" style="465" customWidth="1"/>
    <col min="15" max="15" width="19.5703125" style="399" bestFit="1" customWidth="1"/>
    <col min="16" max="16" width="9.85546875" style="399" customWidth="1"/>
    <col min="17" max="17" width="13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27</v>
      </c>
      <c r="Q2" s="397">
        <f>SUM(F12:F23)</f>
        <v>2306800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1</v>
      </c>
      <c r="Q3" s="462">
        <f>+F11</f>
        <v>48359500</v>
      </c>
      <c r="R3" s="463">
        <v>10</v>
      </c>
      <c r="S3" s="462">
        <f>SUM(F27:F35)</f>
        <v>252402000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25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284" customFormat="1" ht="141" customHeight="1" x14ac:dyDescent="0.2">
      <c r="A11" s="425">
        <v>1</v>
      </c>
      <c r="B11" s="425"/>
      <c r="C11" s="568" t="s">
        <v>107</v>
      </c>
      <c r="D11" s="425" t="s">
        <v>25</v>
      </c>
      <c r="E11" s="470" t="s">
        <v>399</v>
      </c>
      <c r="F11" s="471">
        <v>48359500</v>
      </c>
      <c r="G11" s="426"/>
      <c r="H11" s="549"/>
      <c r="I11" s="581" t="str">
        <f>+[20]บช.ศ.!I11</f>
        <v xml:space="preserve"> กำหนดประกาศเชิญชวน 15 ธ.ค.58 ebidding 22 ธ.ค.58 ลงนาม 30 ธ.ค.58 </v>
      </c>
      <c r="J11" s="281"/>
      <c r="K11" s="283"/>
      <c r="L11" s="283"/>
      <c r="M11" s="581" t="str">
        <f>+[20]บช.ศ.!M11</f>
        <v xml:space="preserve"> อยู่ระหว่างพิจารณาปรับแก้การกำหนดคุณลักษณะเฉพาะ(บางรายการ) ให้สอดคล้องกับการออกแบบอาคารที่มีการปรับแก้ในเรื่องการประหยัดพลังงาน เนื่องจาการจัดซื้อต้องดำเนินการในภาพรวมสามารถผูกพันและลงนามได้ภายในไตรมาสที่ 1 </v>
      </c>
      <c r="N11" s="410">
        <v>2</v>
      </c>
      <c r="O11" s="401"/>
      <c r="P11" s="401"/>
      <c r="Q11" s="401"/>
      <c r="R11" s="401"/>
      <c r="S11" s="401"/>
    </row>
    <row r="12" spans="1:38" s="284" customFormat="1" ht="65.25" x14ac:dyDescent="0.2">
      <c r="A12" s="261">
        <v>2</v>
      </c>
      <c r="B12" s="261"/>
      <c r="C12" s="554" t="s">
        <v>80</v>
      </c>
      <c r="D12" s="261" t="s">
        <v>25</v>
      </c>
      <c r="E12" s="473" t="s">
        <v>400</v>
      </c>
      <c r="F12" s="474">
        <v>280000</v>
      </c>
      <c r="G12" s="281"/>
      <c r="H12" s="281"/>
      <c r="I12" s="582" t="str">
        <f>+[20]บช.ศ.!I12</f>
        <v xml:space="preserve"> ประกาศเชิญชวน 9-17 พ.ย.58 เสนอราคา e-bidding   20 พ.ย.58 </v>
      </c>
      <c r="J12" s="281"/>
      <c r="K12" s="283"/>
      <c r="L12" s="283"/>
      <c r="M12" s="582" t="str">
        <f>+[20]บช.ศ.!M12</f>
        <v> ลงนามในสัญญาวันที่ 29 ต.ค.58  
ส่งมอบวันที่ 24 พ.ย.58 อยู่ในขั้นตอนการตรวจรับ   </v>
      </c>
      <c r="N12" s="410">
        <v>1</v>
      </c>
      <c r="O12" s="401"/>
      <c r="P12" s="401"/>
      <c r="Q12" s="401"/>
      <c r="R12" s="401"/>
      <c r="S12" s="401"/>
    </row>
    <row r="13" spans="1:38" s="284" customFormat="1" ht="74.25" customHeight="1" x14ac:dyDescent="0.2">
      <c r="A13" s="261">
        <v>3</v>
      </c>
      <c r="B13" s="261"/>
      <c r="C13" s="554" t="s">
        <v>80</v>
      </c>
      <c r="D13" s="261" t="s">
        <v>25</v>
      </c>
      <c r="E13" s="473" t="s">
        <v>401</v>
      </c>
      <c r="F13" s="474">
        <v>17700</v>
      </c>
      <c r="G13" s="281"/>
      <c r="H13" s="281"/>
      <c r="I13" s="582" t="str">
        <f>+[20]บช.ศ.!I13</f>
        <v xml:space="preserve"> ประกาศเชิญชวน 9-17 พ.ย.58 เสนอราคา e-bidding   20 พ.ย.58 </v>
      </c>
      <c r="J13" s="281"/>
      <c r="K13" s="283"/>
      <c r="L13" s="283"/>
      <c r="M13" s="582" t="str">
        <f>+[20]บช.ศ.!M13</f>
        <v>  ลงนามในสัญญาวันที่ 29 ต.ค.58  
ส่งมอบวันที่ 24 พ.ย.58 อยู่ในขั้นตอนการตรวจรับ    </v>
      </c>
      <c r="N13" s="410">
        <v>1</v>
      </c>
      <c r="O13" s="401"/>
      <c r="P13" s="401"/>
      <c r="Q13" s="401"/>
      <c r="R13" s="401"/>
      <c r="S13" s="401"/>
    </row>
    <row r="14" spans="1:38" s="284" customFormat="1" ht="72" customHeight="1" x14ac:dyDescent="0.2">
      <c r="A14" s="261">
        <v>4</v>
      </c>
      <c r="B14" s="261"/>
      <c r="C14" s="554" t="s">
        <v>80</v>
      </c>
      <c r="D14" s="261" t="s">
        <v>25</v>
      </c>
      <c r="E14" s="473" t="s">
        <v>402</v>
      </c>
      <c r="F14" s="474">
        <v>900000</v>
      </c>
      <c r="G14" s="281"/>
      <c r="H14" s="285"/>
      <c r="I14" s="582" t="str">
        <f>+[20]บช.ศ.!I14</f>
        <v xml:space="preserve"> ประกาศเชิญชวน 9-17 พ.ย.58 เสนอราคา e-bidding   20 พ.ย.58 </v>
      </c>
      <c r="J14" s="281"/>
      <c r="K14" s="283"/>
      <c r="L14" s="283"/>
      <c r="M14" s="582" t="str">
        <f>+[20]บช.ศ.!M14</f>
        <v>  ประกาศเชิญชวนในอินเตอร์เน็ต 9 - 19 พ.ย.58  เสนอราคา  23 พ.ย.58    ลงนามในสัญญาภายใน 30 พ.ย.58      </v>
      </c>
      <c r="N14" s="410">
        <v>1</v>
      </c>
      <c r="O14" s="401"/>
      <c r="P14" s="401"/>
      <c r="Q14" s="401"/>
      <c r="R14" s="401"/>
      <c r="S14" s="401"/>
    </row>
    <row r="15" spans="1:38" s="284" customFormat="1" ht="65.25" x14ac:dyDescent="0.2">
      <c r="A15" s="261">
        <v>5</v>
      </c>
      <c r="B15" s="261"/>
      <c r="C15" s="554" t="s">
        <v>80</v>
      </c>
      <c r="D15" s="261" t="s">
        <v>25</v>
      </c>
      <c r="E15" s="473" t="s">
        <v>403</v>
      </c>
      <c r="F15" s="474">
        <v>19800</v>
      </c>
      <c r="G15" s="281"/>
      <c r="H15" s="285"/>
      <c r="I15" s="582" t="str">
        <f>+[20]บช.ศ.!I15</f>
        <v xml:space="preserve"> ประกาศเชิญชวน 9-17 พ.ย.58 เสนอราคา e-bidding   20 พ.ย.58 </v>
      </c>
      <c r="J15" s="281"/>
      <c r="K15" s="283"/>
      <c r="L15" s="283"/>
      <c r="M15" s="582" t="str">
        <f>+[20]บช.ศ.!M15</f>
        <v>  ประกาศเชิญชวนในอินเตอร์เน็ต 9 - 19    พ.ย.58  เสนอราคา  23 พ.ย.58  ลงนามในสัญญาภายใน 30 พ.ย.58     </v>
      </c>
      <c r="N15" s="410">
        <v>1</v>
      </c>
      <c r="O15" s="401"/>
      <c r="P15" s="401"/>
      <c r="Q15" s="401"/>
      <c r="R15" s="401"/>
      <c r="S15" s="401"/>
    </row>
    <row r="16" spans="1:38" s="284" customFormat="1" ht="65.25" x14ac:dyDescent="0.2">
      <c r="A16" s="261">
        <v>6</v>
      </c>
      <c r="B16" s="261"/>
      <c r="C16" s="554" t="s">
        <v>80</v>
      </c>
      <c r="D16" s="261" t="s">
        <v>25</v>
      </c>
      <c r="E16" s="473" t="s">
        <v>404</v>
      </c>
      <c r="F16" s="474">
        <v>51100</v>
      </c>
      <c r="G16" s="281"/>
      <c r="H16" s="285"/>
      <c r="I16" s="582" t="str">
        <f>+[20]บช.ศ.!I16</f>
        <v xml:space="preserve"> ประกาศเชิญชวน 9-17 พ.ย.58 เสนอราคา e-bidding   20 พ.ย.58 </v>
      </c>
      <c r="J16" s="281"/>
      <c r="K16" s="283"/>
      <c r="L16" s="283"/>
      <c r="M16" s="582" t="str">
        <f>+[20]บช.ศ.!M16</f>
        <v> ประกาศเชิญชวนในอินเตอร์เน็ต 9 - 19  พ.ย.58   เสนอราคา  23 พ.ย.58   ลงนามในสัญญาภายใน 30 พ.ย.58  </v>
      </c>
      <c r="N16" s="410">
        <v>1</v>
      </c>
      <c r="O16" s="401"/>
      <c r="P16" s="401"/>
      <c r="Q16" s="401"/>
      <c r="R16" s="401"/>
      <c r="S16" s="401"/>
    </row>
    <row r="17" spans="1:19" s="284" customFormat="1" ht="65.25" x14ac:dyDescent="0.2">
      <c r="A17" s="261">
        <v>7</v>
      </c>
      <c r="B17" s="261"/>
      <c r="C17" s="554" t="s">
        <v>80</v>
      </c>
      <c r="D17" s="261" t="s">
        <v>25</v>
      </c>
      <c r="E17" s="473" t="s">
        <v>405</v>
      </c>
      <c r="F17" s="474">
        <v>41000</v>
      </c>
      <c r="G17" s="281"/>
      <c r="H17" s="285"/>
      <c r="I17" s="582" t="str">
        <f>+[20]บช.ศ.!I17</f>
        <v xml:space="preserve"> ประกาศเชิญชวน 9-17 พ.ย.58 เสนอราคา e-bidding   20 พ.ย.58 </v>
      </c>
      <c r="J17" s="281"/>
      <c r="K17" s="283"/>
      <c r="L17" s="283"/>
      <c r="M17" s="582" t="str">
        <f>+[20]บช.ศ.!M17</f>
        <v> ประกาศเชิญชวนในอินเตอร์เน็ต 9 - 19   พ.ย.58  เสนอราคา  23 พ.ย.58    ลงนามในสัญญาภายใน 30 พ.ย.58   </v>
      </c>
      <c r="N17" s="410">
        <v>1</v>
      </c>
      <c r="O17" s="401"/>
      <c r="P17" s="401"/>
      <c r="Q17" s="401"/>
      <c r="R17" s="401"/>
      <c r="S17" s="401"/>
    </row>
    <row r="18" spans="1:19" s="284" customFormat="1" ht="65.25" x14ac:dyDescent="0.2">
      <c r="A18" s="261">
        <v>8</v>
      </c>
      <c r="B18" s="261"/>
      <c r="C18" s="554" t="s">
        <v>80</v>
      </c>
      <c r="D18" s="261" t="s">
        <v>25</v>
      </c>
      <c r="E18" s="473" t="s">
        <v>406</v>
      </c>
      <c r="F18" s="474">
        <v>16000</v>
      </c>
      <c r="G18" s="281"/>
      <c r="H18" s="281"/>
      <c r="I18" s="582" t="str">
        <f>+[20]บช.ศ.!I18</f>
        <v xml:space="preserve"> ประกาศเชิญชวน 9-17 พ.ย.58 เสนอราคา e-bidding   20 พ.ย.58 </v>
      </c>
      <c r="J18" s="281"/>
      <c r="K18" s="283"/>
      <c r="L18" s="283"/>
      <c r="M18" s="582" t="str">
        <f>+[20]บช.ศ.!M18</f>
        <v>  ประกาศเชิญชวนในอินเตอร์เน็ต 9 - 19   พ.ย.58  เสนอราคา  23 พ.ย.58   ลงนามในสัญญาภายใน 30 พ.ย.58   </v>
      </c>
      <c r="N18" s="410">
        <v>1</v>
      </c>
      <c r="O18" s="401"/>
      <c r="P18" s="401"/>
      <c r="Q18" s="401"/>
      <c r="R18" s="401"/>
      <c r="S18" s="401"/>
    </row>
    <row r="19" spans="1:19" s="284" customFormat="1" ht="65.25" x14ac:dyDescent="0.2">
      <c r="A19" s="261">
        <v>9</v>
      </c>
      <c r="B19" s="261"/>
      <c r="C19" s="554" t="s">
        <v>80</v>
      </c>
      <c r="D19" s="261" t="s">
        <v>25</v>
      </c>
      <c r="E19" s="473" t="s">
        <v>407</v>
      </c>
      <c r="F19" s="474">
        <v>228000</v>
      </c>
      <c r="G19" s="281"/>
      <c r="H19" s="281"/>
      <c r="I19" s="582" t="str">
        <f>+[20]บช.ศ.!I19</f>
        <v xml:space="preserve"> ประกาศเชิญชวน 9-17 พ.ย.58 เสนอราคา e-bidding   20 พ.ย.58 </v>
      </c>
      <c r="J19" s="281"/>
      <c r="K19" s="283"/>
      <c r="L19" s="283"/>
      <c r="M19" s="582" t="str">
        <f>+[20]บช.ศ.!M19</f>
        <v>  ประกาศเชิญชวนในอินเตอร์เน็ต 9 - 19   พ.ย.58 เสนอราคา  23 พ.ย.58  ลงนามในสัญญาภายใน 30 พ.ย.58   </v>
      </c>
      <c r="N19" s="410">
        <v>1</v>
      </c>
      <c r="O19" s="401"/>
      <c r="P19" s="401"/>
      <c r="Q19" s="401"/>
      <c r="R19" s="401"/>
      <c r="S19" s="401"/>
    </row>
    <row r="20" spans="1:19" s="284" customFormat="1" ht="78" customHeight="1" x14ac:dyDescent="0.2">
      <c r="A20" s="261">
        <v>10</v>
      </c>
      <c r="B20" s="261"/>
      <c r="C20" s="554" t="s">
        <v>80</v>
      </c>
      <c r="D20" s="261" t="s">
        <v>25</v>
      </c>
      <c r="E20" s="473" t="s">
        <v>408</v>
      </c>
      <c r="F20" s="474">
        <v>29000</v>
      </c>
      <c r="G20" s="281"/>
      <c r="H20" s="281"/>
      <c r="I20" s="582" t="str">
        <f>+[20]บช.ศ.!I20</f>
        <v xml:space="preserve"> ประกาศเชิญชวน 9-17 พ.ย.58 เสนอราคา e-bidding   20 พ.ย.58 </v>
      </c>
      <c r="J20" s="281"/>
      <c r="K20" s="283"/>
      <c r="L20" s="283"/>
      <c r="M20" s="582" t="str">
        <f>+[20]บช.ศ.!M20</f>
        <v>  ประกาศเชิญชวนในอินเตอร์เน็ต 9 - 19  พ.ย.58  เสนอราคา  23 พ.ย.58    ลงนามในสัญญาภายใน 30 พ.ย.58   </v>
      </c>
      <c r="N20" s="410">
        <v>1</v>
      </c>
      <c r="O20" s="401"/>
      <c r="P20" s="401"/>
      <c r="Q20" s="401"/>
      <c r="R20" s="401"/>
      <c r="S20" s="401"/>
    </row>
    <row r="21" spans="1:19" s="284" customFormat="1" ht="78" customHeight="1" x14ac:dyDescent="0.2">
      <c r="A21" s="261">
        <v>11</v>
      </c>
      <c r="B21" s="261"/>
      <c r="C21" s="554" t="s">
        <v>80</v>
      </c>
      <c r="D21" s="261" t="s">
        <v>25</v>
      </c>
      <c r="E21" s="473" t="s">
        <v>409</v>
      </c>
      <c r="F21" s="474">
        <v>378200</v>
      </c>
      <c r="G21" s="281"/>
      <c r="H21" s="281"/>
      <c r="I21" s="582" t="str">
        <f>+[20]บช.ศ.!I21</f>
        <v xml:space="preserve"> ประกาศเชิญชวน 9-17 พ.ย.58 เสนอราคา e-bidding   20 พ.ย.58 </v>
      </c>
      <c r="J21" s="281"/>
      <c r="K21" s="283"/>
      <c r="L21" s="283"/>
      <c r="M21" s="582" t="str">
        <f>+[20]บช.ศ.!M21</f>
        <v>   - ประกาศเชิญชวนในอินเตอร์เน็ต 9 - 19 พ.ย.58  เสนอราคา  23 พ.ย.58 ลงนามในสัญญาภายใน 30 พ.ย.58  </v>
      </c>
      <c r="N21" s="410">
        <v>1</v>
      </c>
      <c r="O21" s="401"/>
      <c r="P21" s="401"/>
      <c r="Q21" s="401"/>
      <c r="R21" s="401"/>
      <c r="S21" s="401"/>
    </row>
    <row r="22" spans="1:19" s="284" customFormat="1" ht="92.25" customHeight="1" x14ac:dyDescent="0.2">
      <c r="A22" s="261">
        <v>12</v>
      </c>
      <c r="B22" s="261"/>
      <c r="C22" s="554" t="s">
        <v>80</v>
      </c>
      <c r="D22" s="261" t="s">
        <v>25</v>
      </c>
      <c r="E22" s="473" t="s">
        <v>410</v>
      </c>
      <c r="F22" s="474">
        <v>115000</v>
      </c>
      <c r="G22" s="281"/>
      <c r="H22" s="281"/>
      <c r="I22" s="582" t="str">
        <f>+[20]บช.ศ.!I22</f>
        <v xml:space="preserve"> ประกาศเชิญชวน 9-17 พ.ย.58 เสนอราคา e-bidding   20 พ.ย.58 </v>
      </c>
      <c r="J22" s="281"/>
      <c r="K22" s="283"/>
      <c r="L22" s="283"/>
      <c r="M22" s="582" t="str">
        <f>+[20]บช.ศ.!M22</f>
        <v>   - ประกาศเชิญชวนในอินเตอร์เน็ต 9 - 19 พ.ย.58   เสนออราคา  23 พ.ย.58   ลงนามในสัญญาภายใน 30 พ.ย.58  </v>
      </c>
      <c r="N22" s="410">
        <v>1</v>
      </c>
      <c r="O22" s="401"/>
      <c r="P22" s="401"/>
      <c r="Q22" s="401"/>
      <c r="R22" s="401"/>
      <c r="S22" s="401"/>
    </row>
    <row r="23" spans="1:19" s="284" customFormat="1" ht="65.25" x14ac:dyDescent="0.2">
      <c r="A23" s="261">
        <v>13</v>
      </c>
      <c r="B23" s="261"/>
      <c r="C23" s="554" t="s">
        <v>80</v>
      </c>
      <c r="D23" s="261" t="s">
        <v>25</v>
      </c>
      <c r="E23" s="473" t="s">
        <v>411</v>
      </c>
      <c r="F23" s="474">
        <v>231000</v>
      </c>
      <c r="G23" s="281"/>
      <c r="H23" s="281"/>
      <c r="I23" s="582" t="str">
        <f>+[20]บช.ศ.!I23</f>
        <v xml:space="preserve"> ประกาศเชิญชวน 9-17 พ.ย.58 เสนอราคา e-bidding   20 พ.ย.58 </v>
      </c>
      <c r="J23" s="281"/>
      <c r="K23" s="283"/>
      <c r="L23" s="283"/>
      <c r="M23" s="582" t="str">
        <f>+[20]บช.ศ.!M23</f>
        <v>   - ประกาศเชิญชวนในอินเตอร์เน็ต 9 - 19 พ.ย.58     เสนอราคา  23 พ.ย.58   ลงนามในสัญญาภายใน 30 พ.ย.58  </v>
      </c>
      <c r="N23" s="410">
        <v>1</v>
      </c>
      <c r="O23" s="401"/>
      <c r="P23" s="401"/>
      <c r="Q23" s="401"/>
      <c r="R23" s="401"/>
      <c r="S23" s="401"/>
    </row>
    <row r="24" spans="1:19" s="16" customFormat="1" x14ac:dyDescent="0.2">
      <c r="A24" s="14"/>
      <c r="B24" s="476"/>
      <c r="C24" s="476"/>
      <c r="D24" s="476"/>
      <c r="E24" s="477"/>
      <c r="F24" s="478"/>
      <c r="G24" s="31"/>
      <c r="H24" s="31"/>
      <c r="I24" s="31"/>
      <c r="J24" s="31"/>
      <c r="K24" s="15"/>
      <c r="L24" s="15"/>
      <c r="M24" s="31"/>
      <c r="N24" s="407"/>
      <c r="O24" s="400"/>
      <c r="P24" s="400"/>
      <c r="Q24" s="400"/>
      <c r="R24" s="400"/>
      <c r="S24" s="400"/>
    </row>
    <row r="25" spans="1:19" s="12" customFormat="1" x14ac:dyDescent="0.5">
      <c r="A25" s="232">
        <f>+A23</f>
        <v>13</v>
      </c>
      <c r="B25" s="232"/>
      <c r="C25" s="232"/>
      <c r="D25" s="232"/>
      <c r="E25" s="233" t="s">
        <v>58</v>
      </c>
      <c r="F25" s="297">
        <f>SUM(F11:F24)</f>
        <v>50666300</v>
      </c>
      <c r="G25" s="234">
        <f>SUM(G11:G24)</f>
        <v>0</v>
      </c>
      <c r="H25" s="234">
        <f>SUM(H11:H24)</f>
        <v>0</v>
      </c>
      <c r="I25" s="234"/>
      <c r="J25" s="234">
        <f>SUM(J11:J24)</f>
        <v>0</v>
      </c>
      <c r="K25" s="234">
        <f>SUM(K11:K24)</f>
        <v>0</v>
      </c>
      <c r="L25" s="234">
        <f>SUM(L11:L24)</f>
        <v>0</v>
      </c>
      <c r="M25" s="234"/>
      <c r="N25" s="406"/>
      <c r="O25" s="397">
        <f>+F25+G25</f>
        <v>50666300</v>
      </c>
      <c r="P25" s="398"/>
      <c r="Q25" s="398"/>
      <c r="R25" s="399"/>
      <c r="S25" s="399"/>
    </row>
    <row r="26" spans="1:19" s="16" customFormat="1" x14ac:dyDescent="0.2">
      <c r="A26" s="14"/>
      <c r="B26" s="14"/>
      <c r="C26" s="14"/>
      <c r="D26" s="14"/>
      <c r="E26" s="27" t="s">
        <v>59</v>
      </c>
      <c r="F26" s="304"/>
      <c r="G26" s="31"/>
      <c r="H26" s="31"/>
      <c r="I26" s="31"/>
      <c r="J26" s="31"/>
      <c r="K26" s="15"/>
      <c r="L26" s="15"/>
      <c r="M26" s="31"/>
      <c r="N26" s="407"/>
      <c r="O26" s="400"/>
      <c r="P26" s="400"/>
      <c r="Q26" s="400"/>
      <c r="R26" s="400"/>
      <c r="S26" s="400"/>
    </row>
    <row r="27" spans="1:19" s="284" customFormat="1" ht="87" x14ac:dyDescent="0.2">
      <c r="A27" s="425"/>
      <c r="B27" s="425"/>
      <c r="C27" s="557" t="s">
        <v>109</v>
      </c>
      <c r="D27" s="425" t="s">
        <v>25</v>
      </c>
      <c r="E27" s="470" t="s">
        <v>412</v>
      </c>
      <c r="F27" s="471"/>
      <c r="G27" s="426"/>
      <c r="H27" s="426"/>
      <c r="I27" s="581">
        <f>+[20]บช.ศ.!I27</f>
        <v>0</v>
      </c>
      <c r="J27" s="281"/>
      <c r="K27" s="283"/>
      <c r="L27" s="283"/>
      <c r="M27" s="581">
        <f>+[20]บช.ศ.!M27</f>
        <v>0</v>
      </c>
      <c r="N27" s="410"/>
      <c r="O27" s="401"/>
      <c r="P27" s="401"/>
      <c r="Q27" s="401"/>
      <c r="R27" s="401"/>
      <c r="S27" s="401"/>
    </row>
    <row r="28" spans="1:19" s="284" customFormat="1" ht="76.5" customHeight="1" x14ac:dyDescent="0.2">
      <c r="A28" s="425">
        <v>1</v>
      </c>
      <c r="B28" s="425"/>
      <c r="C28" s="557" t="s">
        <v>109</v>
      </c>
      <c r="D28" s="425" t="s">
        <v>25</v>
      </c>
      <c r="E28" s="470" t="s">
        <v>413</v>
      </c>
      <c r="F28" s="471">
        <v>30000000</v>
      </c>
      <c r="G28" s="426"/>
      <c r="H28" s="426"/>
      <c r="I28" s="581" t="str">
        <f>+[20]บช.ศ.!I28</f>
        <v xml:space="preserve"> กำหนดประกาศเชิญชวน 8-16 ธ.ค.58  e-bidding 21 ธ.ค.58 </v>
      </c>
      <c r="J28" s="281"/>
      <c r="K28" s="283"/>
      <c r="L28" s="283"/>
      <c r="M28" s="581" t="str">
        <f>+[20]บช.ศ.!M28</f>
        <v>ประกาศเชิญชวนในอินเตอร์เน็ต  8 - 16 ธ.ค.58  เสนอราคา  21 ธ.ค.58   ลงนามในสัญญาภายใน 30 ธ.ค.58 </v>
      </c>
      <c r="N28" s="410">
        <v>2</v>
      </c>
      <c r="O28" s="401"/>
      <c r="P28" s="401"/>
      <c r="Q28" s="401"/>
      <c r="R28" s="401"/>
      <c r="S28" s="401"/>
    </row>
    <row r="29" spans="1:19" s="284" customFormat="1" ht="102" customHeight="1" x14ac:dyDescent="0.2">
      <c r="A29" s="425">
        <v>2</v>
      </c>
      <c r="B29" s="425"/>
      <c r="C29" s="557" t="s">
        <v>109</v>
      </c>
      <c r="D29" s="425" t="s">
        <v>25</v>
      </c>
      <c r="E29" s="470" t="s">
        <v>414</v>
      </c>
      <c r="F29" s="471">
        <v>20000000</v>
      </c>
      <c r="G29" s="426"/>
      <c r="H29" s="426"/>
      <c r="I29" s="581" t="str">
        <f>+[20]บช.ศ.!I29</f>
        <v xml:space="preserve"> กำหนดประกาศเชิญชวน 8-16 ธ.ค.58  e-bidding 21 ธ.ค.58 </v>
      </c>
      <c r="J29" s="281"/>
      <c r="K29" s="283"/>
      <c r="L29" s="283"/>
      <c r="M29" s="581" t="str">
        <f>+[20]บช.ศ.!M29</f>
        <v xml:space="preserve"> - ประกาศเชิญชวนในอินเตอร์เน็ต 8 - 16 ธ.ค.58 
- เสนอราคา  21 ธ.ค.58  
- ลงนามในสัญญาภายใน 30 ธ.ค.58</v>
      </c>
      <c r="N29" s="410">
        <v>2</v>
      </c>
      <c r="O29" s="401"/>
      <c r="P29" s="401"/>
      <c r="Q29" s="401"/>
      <c r="R29" s="401"/>
      <c r="S29" s="401"/>
    </row>
    <row r="30" spans="1:19" s="284" customFormat="1" ht="101.25" customHeight="1" x14ac:dyDescent="0.2">
      <c r="A30" s="425">
        <v>3</v>
      </c>
      <c r="B30" s="425"/>
      <c r="C30" s="557" t="s">
        <v>109</v>
      </c>
      <c r="D30" s="425" t="s">
        <v>25</v>
      </c>
      <c r="E30" s="470" t="s">
        <v>415</v>
      </c>
      <c r="F30" s="471">
        <v>23592000</v>
      </c>
      <c r="G30" s="426"/>
      <c r="H30" s="426"/>
      <c r="I30" s="581" t="str">
        <f>+[20]บช.ศ.!I30</f>
        <v xml:space="preserve"> กำหนดประกาศเชิญชวน 8-16 ธ.ค.58  e-bidding 21 ธ.ค.58 </v>
      </c>
      <c r="J30" s="281"/>
      <c r="K30" s="283"/>
      <c r="L30" s="283"/>
      <c r="M30" s="581" t="str">
        <f>+[20]บช.ศ.!M30</f>
        <v xml:space="preserve"> - ประกาศเชิญชวนในอินเตอร์เน็ต 8 - 16 ธ.ค.58
- เสนอราคา  21 ธ.ค.58 
- ลงนามในสัญญาภายใน 30 ธ.ค.58</v>
      </c>
      <c r="N30" s="410">
        <v>2</v>
      </c>
      <c r="O30" s="401"/>
      <c r="P30" s="401"/>
      <c r="Q30" s="401"/>
      <c r="R30" s="401"/>
      <c r="S30" s="401"/>
    </row>
    <row r="31" spans="1:19" s="284" customFormat="1" ht="78" customHeight="1" x14ac:dyDescent="0.2">
      <c r="A31" s="425">
        <v>4</v>
      </c>
      <c r="B31" s="425"/>
      <c r="C31" s="557" t="s">
        <v>109</v>
      </c>
      <c r="D31" s="425" t="s">
        <v>25</v>
      </c>
      <c r="E31" s="470" t="s">
        <v>416</v>
      </c>
      <c r="F31" s="471">
        <v>80000000</v>
      </c>
      <c r="G31" s="426"/>
      <c r="H31" s="583"/>
      <c r="I31" s="581" t="str">
        <f>+[20]บช.ศ.!I31</f>
        <v xml:space="preserve"> กำหนดประกาศเชิญชวน 8-16 ธ.ค.58  e-bidding 21 ธ.ค.58 </v>
      </c>
      <c r="J31" s="281"/>
      <c r="K31" s="283"/>
      <c r="L31" s="283"/>
      <c r="M31" s="581" t="str">
        <f>+[20]บช.ศ.!M31</f>
        <v xml:space="preserve"> - ประกาศเชิญชวนในอินเตอร์เน็ต 8 - 16 ธ.ค.58
- เสนอราคา  21 ธ.ค.58 
- ลงนามในสัญญาภายใน 30 ธ.ค.58</v>
      </c>
      <c r="N31" s="410">
        <v>2</v>
      </c>
      <c r="O31" s="401"/>
      <c r="P31" s="401"/>
      <c r="Q31" s="401"/>
      <c r="R31" s="401"/>
      <c r="S31" s="401"/>
    </row>
    <row r="32" spans="1:19" s="284" customFormat="1" ht="96.75" customHeight="1" x14ac:dyDescent="0.2">
      <c r="A32" s="425">
        <v>5</v>
      </c>
      <c r="B32" s="425"/>
      <c r="C32" s="557" t="s">
        <v>109</v>
      </c>
      <c r="D32" s="425" t="s">
        <v>25</v>
      </c>
      <c r="E32" s="470" t="s">
        <v>417</v>
      </c>
      <c r="F32" s="426">
        <v>39320000</v>
      </c>
      <c r="G32" s="426"/>
      <c r="H32" s="426"/>
      <c r="I32" s="581" t="str">
        <f>+[20]บช.ศ.!I32</f>
        <v xml:space="preserve"> กำหนดประกาศเชิญชวน 16-24 พ.ย.58  e-bidding 27 พ.ย.58 </v>
      </c>
      <c r="J32" s="281"/>
      <c r="K32" s="283"/>
      <c r="L32" s="283"/>
      <c r="M32" s="581" t="str">
        <f>+[20]บช.ศ.!M32</f>
        <v xml:space="preserve"> - ประกาศเชิญชวนในอินเตอร์เน็ต 16 - 24 ธ.ค.58 
- เสนอราคา  27 พ.ย.58  
- ลงนามในสัญญาภายใน 15 ธ.ค.58</v>
      </c>
      <c r="N32" s="410">
        <v>2</v>
      </c>
      <c r="O32" s="401"/>
      <c r="P32" s="401"/>
      <c r="Q32" s="401"/>
      <c r="R32" s="401"/>
      <c r="S32" s="401"/>
    </row>
    <row r="33" spans="1:46" s="284" customFormat="1" ht="102" customHeight="1" x14ac:dyDescent="0.2">
      <c r="A33" s="425">
        <v>6</v>
      </c>
      <c r="B33" s="425"/>
      <c r="C33" s="557" t="s">
        <v>109</v>
      </c>
      <c r="D33" s="425" t="s">
        <v>25</v>
      </c>
      <c r="E33" s="470" t="s">
        <v>418</v>
      </c>
      <c r="F33" s="471">
        <v>19660000</v>
      </c>
      <c r="G33" s="426"/>
      <c r="H33" s="549"/>
      <c r="I33" s="581" t="str">
        <f>+[20]บช.ศ.!I33</f>
        <v xml:space="preserve"> กำหนดประกาศเชิญชวน 16-24 พ.ย.58  e-bidding 27 พ.ย.58 </v>
      </c>
      <c r="J33" s="281"/>
      <c r="K33" s="283"/>
      <c r="L33" s="283"/>
      <c r="M33" s="581" t="str">
        <f>+[20]บช.ศ.!M33</f>
        <v xml:space="preserve"> - ประกาศเชิญชวนในอินเตอร์เน็ต 16 - 24 ธ.ค.58 
- เสนอราคา  27 พ.ย.58  
- ลงนามในสัญญาภายใน 15 ธ.ค.58</v>
      </c>
      <c r="N33" s="410">
        <v>2</v>
      </c>
      <c r="O33" s="409">
        <f>SUM(F34:F35)</f>
        <v>39830000</v>
      </c>
      <c r="P33" s="401"/>
      <c r="Q33" s="401"/>
      <c r="R33" s="401"/>
      <c r="S33" s="401"/>
    </row>
    <row r="34" spans="1:46" s="284" customFormat="1" ht="74.25" customHeight="1" x14ac:dyDescent="0.2">
      <c r="A34" s="425">
        <v>7</v>
      </c>
      <c r="B34" s="425"/>
      <c r="C34" s="557" t="s">
        <v>109</v>
      </c>
      <c r="D34" s="425" t="s">
        <v>25</v>
      </c>
      <c r="E34" s="470" t="s">
        <v>419</v>
      </c>
      <c r="F34" s="426">
        <v>30000000</v>
      </c>
      <c r="G34" s="426"/>
      <c r="H34" s="426"/>
      <c r="I34" s="581" t="str">
        <f>+[20]บช.ศ.!I34</f>
        <v xml:space="preserve"> กำหนดประกาศเชิญชวน 8-16 ธ.ค.58  e-bidding 21 ธ.ค.58 </v>
      </c>
      <c r="J34" s="281"/>
      <c r="K34" s="283"/>
      <c r="L34" s="283"/>
      <c r="M34" s="581" t="str">
        <f>+[20]บช.ศ.!M34</f>
        <v xml:space="preserve"> - ประกาศเชิญชวนในอินเตอร์เน็ต 8 - 16 ธ.ค.58 
- เสนอราคา  21 ธ.ค.58
- ลงนามในสัญญาภายใน 30 ธ.ค.58</v>
      </c>
      <c r="N34" s="410">
        <v>2</v>
      </c>
      <c r="O34" s="401"/>
      <c r="P34" s="401"/>
      <c r="Q34" s="401"/>
      <c r="R34" s="401"/>
      <c r="S34" s="401"/>
    </row>
    <row r="35" spans="1:46" s="284" customFormat="1" ht="77.25" customHeight="1" x14ac:dyDescent="0.2">
      <c r="A35" s="425">
        <v>8</v>
      </c>
      <c r="B35" s="425"/>
      <c r="C35" s="557" t="s">
        <v>109</v>
      </c>
      <c r="D35" s="425" t="s">
        <v>25</v>
      </c>
      <c r="E35" s="470" t="s">
        <v>420</v>
      </c>
      <c r="F35" s="426">
        <v>9830000</v>
      </c>
      <c r="G35" s="426"/>
      <c r="H35" s="426"/>
      <c r="I35" s="581" t="str">
        <f>+[20]บช.ศ.!I35</f>
        <v xml:space="preserve"> กำหนดประกาศเชิญชวน 16-24 พ.ย.58  e-bidding 27 พ.ย.58 </v>
      </c>
      <c r="J35" s="281"/>
      <c r="K35" s="283"/>
      <c r="L35" s="283"/>
      <c r="M35" s="581" t="str">
        <f>+[20]บช.ศ.!M35</f>
        <v xml:space="preserve"> ประกาศเชิญชวนในอินเตอร์เน็ต 19 - 26 ธ.ค.58  เสนอราคา  8 พ.ย.58      ลงนามในสัญญาภายใน 15 ธ.ค.58</v>
      </c>
      <c r="N35" s="410">
        <v>2</v>
      </c>
      <c r="O35" s="401"/>
      <c r="P35" s="401"/>
      <c r="Q35" s="401"/>
      <c r="R35" s="401"/>
      <c r="S35" s="401"/>
    </row>
    <row r="36" spans="1:46" s="16" customFormat="1" x14ac:dyDescent="0.2">
      <c r="A36" s="14"/>
      <c r="B36" s="14"/>
      <c r="C36" s="14"/>
      <c r="D36" s="14"/>
      <c r="E36" s="477"/>
      <c r="F36" s="496"/>
      <c r="G36" s="31"/>
      <c r="H36" s="263"/>
      <c r="I36" s="263"/>
      <c r="J36" s="31"/>
      <c r="K36" s="15"/>
      <c r="L36" s="15"/>
      <c r="M36" s="263"/>
      <c r="N36" s="407"/>
      <c r="O36" s="400"/>
      <c r="P36" s="400"/>
      <c r="Q36" s="400"/>
      <c r="R36" s="400"/>
      <c r="S36" s="400"/>
    </row>
    <row r="37" spans="1:46" s="16" customFormat="1" ht="22.5" thickBot="1" x14ac:dyDescent="0.55000000000000004">
      <c r="A37" s="235">
        <f>+A35</f>
        <v>8</v>
      </c>
      <c r="B37" s="235"/>
      <c r="C37" s="235"/>
      <c r="D37" s="235"/>
      <c r="E37" s="236" t="s">
        <v>60</v>
      </c>
      <c r="F37" s="298">
        <f>SUM(F27:F36)</f>
        <v>252402000</v>
      </c>
      <c r="G37" s="237">
        <f>SUM(G27:G36)</f>
        <v>0</v>
      </c>
      <c r="H37" s="237">
        <f>SUM(H27:H36)</f>
        <v>0</v>
      </c>
      <c r="I37" s="237"/>
      <c r="J37" s="237">
        <f>SUM(J27:J36)</f>
        <v>0</v>
      </c>
      <c r="K37" s="237">
        <f>SUM(K27:K36)</f>
        <v>0</v>
      </c>
      <c r="L37" s="237">
        <f>SUM(L27:L36)</f>
        <v>0</v>
      </c>
      <c r="M37" s="237"/>
      <c r="N37" s="405"/>
      <c r="O37" s="402">
        <f>+F37+G37</f>
        <v>252402000</v>
      </c>
      <c r="P37" s="398"/>
      <c r="Q37" s="398"/>
      <c r="R37" s="400"/>
      <c r="S37" s="400"/>
    </row>
    <row r="38" spans="1:46" s="480" customFormat="1" ht="22.5" thickBot="1" x14ac:dyDescent="0.55000000000000004">
      <c r="A38" s="238">
        <f>+A25+A37</f>
        <v>21</v>
      </c>
      <c r="B38" s="239"/>
      <c r="C38" s="239"/>
      <c r="D38" s="239"/>
      <c r="E38" s="239" t="s">
        <v>421</v>
      </c>
      <c r="F38" s="299">
        <f>F25+F37</f>
        <v>303068300</v>
      </c>
      <c r="G38" s="289">
        <f>+G25+G37</f>
        <v>0</v>
      </c>
      <c r="H38" s="289">
        <f>+H25+H37</f>
        <v>0</v>
      </c>
      <c r="I38" s="240"/>
      <c r="J38" s="240">
        <f>J25+J37</f>
        <v>0</v>
      </c>
      <c r="K38" s="240">
        <f>K25+K37</f>
        <v>0</v>
      </c>
      <c r="L38" s="240">
        <f>L25+L37</f>
        <v>0</v>
      </c>
      <c r="M38" s="240"/>
      <c r="N38" s="408"/>
      <c r="O38" s="397">
        <f>+O25+O37</f>
        <v>303068300</v>
      </c>
      <c r="P38" s="479"/>
      <c r="Q38" s="479"/>
      <c r="R38" s="399"/>
      <c r="S38" s="399"/>
      <c r="T38" s="12"/>
      <c r="U38" s="12"/>
      <c r="V38" s="12"/>
      <c r="W38" s="12"/>
      <c r="X38" s="12"/>
      <c r="Y38" s="12"/>
      <c r="Z38" s="12"/>
      <c r="AA38" s="12"/>
    </row>
    <row r="39" spans="1:46" s="16" customFormat="1" x14ac:dyDescent="0.2">
      <c r="A39" s="481"/>
      <c r="B39" s="481"/>
      <c r="C39" s="481"/>
      <c r="D39" s="481"/>
      <c r="E39" s="482"/>
      <c r="F39" s="558"/>
      <c r="G39" s="375"/>
      <c r="H39" s="375"/>
      <c r="I39" s="375"/>
      <c r="J39" s="375"/>
      <c r="K39" s="376"/>
      <c r="L39" s="376"/>
      <c r="M39" s="375"/>
      <c r="N39" s="407"/>
      <c r="O39" s="400"/>
      <c r="P39" s="400"/>
      <c r="Q39" s="400"/>
      <c r="R39" s="400"/>
      <c r="S39" s="400"/>
    </row>
    <row r="40" spans="1:46" s="16" customFormat="1" x14ac:dyDescent="0.5">
      <c r="A40" s="481"/>
      <c r="B40" s="481"/>
      <c r="C40" s="481"/>
      <c r="D40" s="481"/>
      <c r="E40" s="482"/>
      <c r="F40" s="32"/>
      <c r="G40" s="375"/>
      <c r="H40" s="375"/>
      <c r="I40" s="375"/>
      <c r="J40" s="375"/>
      <c r="K40" s="376"/>
      <c r="L40" s="376"/>
      <c r="M40" s="375"/>
      <c r="N40" s="407"/>
      <c r="O40" s="400"/>
      <c r="P40" s="400"/>
      <c r="Q40" s="400"/>
      <c r="R40" s="400"/>
      <c r="S40" s="400"/>
    </row>
    <row r="42" spans="1:46" s="77" customFormat="1" x14ac:dyDescent="0.5">
      <c r="A42" s="483"/>
      <c r="B42" s="483"/>
      <c r="C42" s="483"/>
      <c r="D42" s="483"/>
      <c r="F42" s="270"/>
      <c r="G42" s="119"/>
      <c r="H42" s="119"/>
      <c r="I42" s="119"/>
      <c r="J42" s="119"/>
      <c r="K42" s="484"/>
      <c r="L42" s="484"/>
      <c r="M42" s="119"/>
      <c r="N42" s="465"/>
      <c r="O42" s="399"/>
      <c r="P42" s="399"/>
      <c r="Q42" s="399"/>
      <c r="R42" s="399"/>
      <c r="S42" s="399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</row>
    <row r="43" spans="1:46" s="77" customFormat="1" x14ac:dyDescent="0.5">
      <c r="A43" s="483"/>
      <c r="B43" s="483"/>
      <c r="C43" s="483"/>
      <c r="D43" s="483"/>
      <c r="F43" s="270"/>
      <c r="G43" s="119"/>
      <c r="H43" s="119"/>
      <c r="I43" s="119"/>
      <c r="J43" s="119"/>
      <c r="K43" s="484"/>
      <c r="L43" s="484"/>
      <c r="M43" s="119"/>
      <c r="N43" s="465"/>
      <c r="O43" s="399"/>
      <c r="P43" s="399"/>
      <c r="Q43" s="399"/>
      <c r="R43" s="399"/>
      <c r="S43" s="399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5"/>
      <c r="AQ43" s="485"/>
      <c r="AR43" s="485"/>
      <c r="AS43" s="485"/>
      <c r="AT43" s="485"/>
    </row>
    <row r="44" spans="1:46" s="77" customFormat="1" x14ac:dyDescent="0.5">
      <c r="A44" s="483"/>
      <c r="B44" s="483"/>
      <c r="C44" s="483"/>
      <c r="D44" s="483"/>
      <c r="F44" s="270"/>
      <c r="G44" s="119"/>
      <c r="H44" s="119"/>
      <c r="I44" s="119"/>
      <c r="J44" s="119"/>
      <c r="K44" s="484"/>
      <c r="L44" s="484"/>
      <c r="M44" s="119"/>
      <c r="N44" s="465"/>
      <c r="O44" s="399"/>
      <c r="P44" s="399"/>
      <c r="Q44" s="399"/>
      <c r="R44" s="399"/>
      <c r="S44" s="399"/>
      <c r="T44" s="485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485"/>
      <c r="AO44" s="485"/>
      <c r="AP44" s="485"/>
      <c r="AQ44" s="485"/>
      <c r="AR44" s="485"/>
      <c r="AS44" s="485"/>
      <c r="AT44" s="485"/>
    </row>
    <row r="45" spans="1:46" s="77" customFormat="1" x14ac:dyDescent="0.5">
      <c r="A45" s="483"/>
      <c r="B45" s="483"/>
      <c r="C45" s="483"/>
      <c r="D45" s="483"/>
      <c r="F45" s="270"/>
      <c r="G45" s="119"/>
      <c r="H45" s="119"/>
      <c r="I45" s="119"/>
      <c r="J45" s="119"/>
      <c r="K45" s="484"/>
      <c r="L45" s="484"/>
      <c r="M45" s="119"/>
      <c r="N45" s="465"/>
      <c r="O45" s="399"/>
      <c r="P45" s="399"/>
      <c r="Q45" s="399"/>
      <c r="R45" s="399"/>
      <c r="S45" s="399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5"/>
      <c r="AQ45" s="485"/>
      <c r="AR45" s="485"/>
      <c r="AS45" s="485"/>
      <c r="AT45" s="485"/>
    </row>
  </sheetData>
  <autoFilter ref="N1:N45"/>
  <mergeCells count="20">
    <mergeCell ref="Q5:Q8"/>
    <mergeCell ref="P5:P8"/>
    <mergeCell ref="G6:G8"/>
    <mergeCell ref="I5:I8"/>
    <mergeCell ref="F5:H5"/>
    <mergeCell ref="H6:H8"/>
    <mergeCell ref="M5:M8"/>
    <mergeCell ref="F6:F8"/>
    <mergeCell ref="K5:K8"/>
    <mergeCell ref="L5:L8"/>
    <mergeCell ref="A1:M1"/>
    <mergeCell ref="A2:M2"/>
    <mergeCell ref="A3:M3"/>
    <mergeCell ref="C5:C8"/>
    <mergeCell ref="D5:D8"/>
    <mergeCell ref="E5:E8"/>
    <mergeCell ref="F4:G4"/>
    <mergeCell ref="J5:J8"/>
    <mergeCell ref="A5:A8"/>
    <mergeCell ref="B5:B8"/>
  </mergeCells>
  <phoneticPr fontId="2" type="noConversion"/>
  <conditionalFormatting sqref="F28:F35 F11:F23">
    <cfRule type="cellIs" dxfId="45" priority="5" stopIfTrue="1" operator="between">
      <formula>2000001</formula>
      <formula>500000000</formula>
    </cfRule>
  </conditionalFormatting>
  <pageMargins left="0.55118110236220474" right="0.55118110236220474" top="0.55118110236220474" bottom="0.39370078740157483" header="0.19685039370078741" footer="0.19685039370078741"/>
  <pageSetup paperSize="9" scale="80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0"/>
  <sheetViews>
    <sheetView topLeftCell="A10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140625" style="486" customWidth="1"/>
    <col min="4" max="4" width="6.140625" style="486" customWidth="1"/>
    <col min="5" max="5" width="43" style="460" customWidth="1"/>
    <col min="6" max="6" width="14.5703125" style="559" customWidth="1"/>
    <col min="7" max="7" width="13.42578125" style="488" customWidth="1"/>
    <col min="8" max="8" width="13.42578125" style="488" hidden="1" customWidth="1"/>
    <col min="9" max="9" width="37.71093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4.5703125" style="488" customWidth="1"/>
    <col min="14" max="14" width="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9</v>
      </c>
      <c r="Q2" s="397">
        <f>SUM(F12:F16)</f>
        <v>1809800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>
        <v>1</v>
      </c>
      <c r="Q3" s="462">
        <f>+F11</f>
        <v>9208700</v>
      </c>
      <c r="R3" s="463" t="s">
        <v>70</v>
      </c>
      <c r="S3" s="462">
        <f>+F20</f>
        <v>0</v>
      </c>
      <c r="T3" s="460"/>
      <c r="U3" s="460"/>
      <c r="V3" s="460"/>
      <c r="W3" s="460"/>
      <c r="X3" s="460"/>
      <c r="Y3" s="460"/>
      <c r="Z3" s="460"/>
      <c r="AA3" s="460"/>
    </row>
    <row r="4" spans="1:38" ht="21" customHeight="1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26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65.25" x14ac:dyDescent="0.2">
      <c r="A11" s="425">
        <v>1</v>
      </c>
      <c r="B11" s="425"/>
      <c r="C11" s="557" t="s">
        <v>107</v>
      </c>
      <c r="D11" s="469" t="s">
        <v>26</v>
      </c>
      <c r="E11" s="470" t="s">
        <v>422</v>
      </c>
      <c r="F11" s="471">
        <v>9208700</v>
      </c>
      <c r="G11" s="426"/>
      <c r="H11" s="426"/>
      <c r="I11" s="505" t="str">
        <f>+[21]รร.นรต.!I11</f>
        <v> อยู่ระหว่างจัดทำคุณลักษณะเฉพาะ สำหรับรายการที่มีการเปลี่ยนแปลงเพื่อให้ศูนย์ฯมีความทันสมัยเหมาะสมสำหรับการใช้งานมากยิ่งขี้น </v>
      </c>
      <c r="J11" s="31"/>
      <c r="K11" s="15"/>
      <c r="L11" s="15"/>
      <c r="M11" s="505" t="str">
        <f>+[21]รร.นรต.!M11</f>
        <v> อยู่ระหว่างจัดหาฯ </v>
      </c>
      <c r="N11" s="407">
        <v>2</v>
      </c>
      <c r="O11" s="400"/>
      <c r="P11" s="400"/>
      <c r="Q11" s="400"/>
      <c r="R11" s="400"/>
      <c r="S11" s="400"/>
    </row>
    <row r="12" spans="1:38" s="16" customFormat="1" ht="45" x14ac:dyDescent="0.2">
      <c r="A12" s="261">
        <v>2</v>
      </c>
      <c r="B12" s="261"/>
      <c r="C12" s="554" t="s">
        <v>107</v>
      </c>
      <c r="D12" s="472" t="s">
        <v>26</v>
      </c>
      <c r="E12" s="473" t="s">
        <v>423</v>
      </c>
      <c r="F12" s="474">
        <v>1700000</v>
      </c>
      <c r="G12" s="281"/>
      <c r="H12" s="281"/>
      <c r="I12" s="508" t="str">
        <f>+[21]รร.นรต.!I12</f>
        <v>   อยู่ระหว่างการจัดหา สามารถลงนามในสัญญาและเบิกจ่ายได้ภายในเดือน ธ.ค.2558   </v>
      </c>
      <c r="J12" s="31"/>
      <c r="K12" s="15"/>
      <c r="L12" s="15"/>
      <c r="M12" s="508" t="str">
        <f>+[21]รร.นรต.!M12</f>
        <v> อยู่ระหว่างจัดหาฯ </v>
      </c>
      <c r="N12" s="407">
        <v>1</v>
      </c>
      <c r="O12" s="400"/>
      <c r="P12" s="400"/>
      <c r="Q12" s="400"/>
      <c r="R12" s="400"/>
      <c r="S12" s="400"/>
    </row>
    <row r="13" spans="1:38" s="16" customFormat="1" ht="45" x14ac:dyDescent="0.2">
      <c r="A13" s="261">
        <v>3</v>
      </c>
      <c r="B13" s="261"/>
      <c r="C13" s="554" t="s">
        <v>80</v>
      </c>
      <c r="D13" s="472" t="s">
        <v>26</v>
      </c>
      <c r="E13" s="473" t="s">
        <v>424</v>
      </c>
      <c r="F13" s="474">
        <v>17000</v>
      </c>
      <c r="G13" s="281"/>
      <c r="H13" s="281"/>
      <c r="I13" s="508" t="str">
        <f>+[21]รร.นรต.!I13</f>
        <v>อยู่ระหว่างจัดหา สามารถลงนามในสัญญาได้ภายใน พ.ย. 2558</v>
      </c>
      <c r="J13" s="31"/>
      <c r="K13" s="15"/>
      <c r="L13" s="15"/>
      <c r="M13" s="508" t="str">
        <f>+[21]รร.นรต.!M13</f>
        <v> อยู่ระหว่างจัดหาฯ </v>
      </c>
      <c r="N13" s="407">
        <v>1</v>
      </c>
      <c r="O13" s="400"/>
      <c r="P13" s="400"/>
      <c r="Q13" s="400"/>
      <c r="R13" s="400"/>
      <c r="S13" s="400"/>
    </row>
    <row r="14" spans="1:38" s="16" customFormat="1" ht="45" x14ac:dyDescent="0.2">
      <c r="A14" s="261">
        <v>4</v>
      </c>
      <c r="B14" s="261"/>
      <c r="C14" s="554" t="s">
        <v>80</v>
      </c>
      <c r="D14" s="472" t="s">
        <v>26</v>
      </c>
      <c r="E14" s="473" t="s">
        <v>425</v>
      </c>
      <c r="F14" s="474">
        <v>32000</v>
      </c>
      <c r="G14" s="281"/>
      <c r="H14" s="281"/>
      <c r="I14" s="508" t="str">
        <f>+[21]รร.นรต.!I14</f>
        <v>อยู่ระหว่างจัดหา สามารถลงนามในสัญญาได้ภายใน พ.ย. 2558</v>
      </c>
      <c r="J14" s="31"/>
      <c r="K14" s="15"/>
      <c r="L14" s="15"/>
      <c r="M14" s="508" t="str">
        <f>+[21]รร.นรต.!M14</f>
        <v> อยู่ระหว่างจัดหาฯ </v>
      </c>
      <c r="N14" s="407">
        <v>1</v>
      </c>
      <c r="O14" s="400"/>
      <c r="P14" s="400"/>
      <c r="Q14" s="400"/>
      <c r="R14" s="400"/>
      <c r="S14" s="400"/>
    </row>
    <row r="15" spans="1:38" s="16" customFormat="1" ht="45" x14ac:dyDescent="0.2">
      <c r="A15" s="261">
        <v>5</v>
      </c>
      <c r="B15" s="261"/>
      <c r="C15" s="554" t="s">
        <v>80</v>
      </c>
      <c r="D15" s="472" t="s">
        <v>26</v>
      </c>
      <c r="E15" s="473" t="s">
        <v>426</v>
      </c>
      <c r="F15" s="474">
        <v>12800</v>
      </c>
      <c r="G15" s="281"/>
      <c r="H15" s="281"/>
      <c r="I15" s="508" t="str">
        <f>+[21]รร.นรต.!I15</f>
        <v>อยู่ระหว่างจัดหา สามารถลงนามในสัญญาได้ภายใน พ.ย. 2558</v>
      </c>
      <c r="J15" s="31"/>
      <c r="K15" s="15"/>
      <c r="L15" s="15"/>
      <c r="M15" s="508" t="str">
        <f>+[21]รร.นรต.!M15</f>
        <v> อยู่ระหว่างจัดหาฯ </v>
      </c>
      <c r="N15" s="407">
        <v>1</v>
      </c>
      <c r="O15" s="400"/>
      <c r="P15" s="400"/>
      <c r="Q15" s="400"/>
      <c r="R15" s="400"/>
      <c r="S15" s="400"/>
    </row>
    <row r="16" spans="1:38" s="16" customFormat="1" ht="45" x14ac:dyDescent="0.2">
      <c r="A16" s="261">
        <v>6</v>
      </c>
      <c r="B16" s="261"/>
      <c r="C16" s="554" t="s">
        <v>80</v>
      </c>
      <c r="D16" s="472" t="s">
        <v>26</v>
      </c>
      <c r="E16" s="473" t="s">
        <v>427</v>
      </c>
      <c r="F16" s="474">
        <v>48000</v>
      </c>
      <c r="G16" s="281"/>
      <c r="H16" s="281"/>
      <c r="I16" s="508" t="str">
        <f>+[21]รร.นรต.!I16</f>
        <v>อยู่ระหว่างจัดหา สามารถลงนามในสัญญาได้ภายใน พ.ย. 2558</v>
      </c>
      <c r="J16" s="31"/>
      <c r="K16" s="15"/>
      <c r="L16" s="15"/>
      <c r="M16" s="508" t="str">
        <f>+[21]รร.นรต.!M16</f>
        <v> อยู่ระหว่างจัดหาฯ </v>
      </c>
      <c r="N16" s="407">
        <v>1</v>
      </c>
      <c r="O16" s="400"/>
      <c r="P16" s="400"/>
      <c r="Q16" s="400"/>
      <c r="R16" s="400"/>
      <c r="S16" s="400"/>
    </row>
    <row r="17" spans="1:46" s="16" customFormat="1" x14ac:dyDescent="0.2">
      <c r="A17" s="261"/>
      <c r="B17" s="261"/>
      <c r="C17" s="261"/>
      <c r="D17" s="261"/>
      <c r="E17" s="473"/>
      <c r="F17" s="474"/>
      <c r="G17" s="281"/>
      <c r="H17" s="281"/>
      <c r="I17" s="281"/>
      <c r="J17" s="31"/>
      <c r="K17" s="15"/>
      <c r="L17" s="15"/>
      <c r="M17" s="281"/>
      <c r="N17" s="407"/>
      <c r="O17" s="400"/>
      <c r="P17" s="400"/>
      <c r="Q17" s="400"/>
      <c r="R17" s="400"/>
      <c r="S17" s="400"/>
    </row>
    <row r="18" spans="1:46" s="12" customFormat="1" ht="22.5" thickBot="1" x14ac:dyDescent="0.55000000000000004">
      <c r="A18" s="232">
        <f>+A16</f>
        <v>6</v>
      </c>
      <c r="B18" s="232"/>
      <c r="C18" s="232"/>
      <c r="D18" s="232"/>
      <c r="E18" s="233" t="s">
        <v>58</v>
      </c>
      <c r="F18" s="297">
        <f>SUM(F11:F17)</f>
        <v>11018500</v>
      </c>
      <c r="G18" s="234">
        <f>SUM(G11:G17)</f>
        <v>0</v>
      </c>
      <c r="H18" s="234">
        <f>SUM(H11:H17)</f>
        <v>0</v>
      </c>
      <c r="I18" s="234"/>
      <c r="J18" s="234" t="e">
        <f>SUM(#REF!)</f>
        <v>#REF!</v>
      </c>
      <c r="K18" s="234" t="e">
        <f>SUM(#REF!)</f>
        <v>#REF!</v>
      </c>
      <c r="L18" s="234" t="e">
        <f>SUM(#REF!)</f>
        <v>#REF!</v>
      </c>
      <c r="M18" s="234"/>
      <c r="N18" s="406"/>
      <c r="O18" s="397">
        <f>+F18+G18</f>
        <v>11018500</v>
      </c>
      <c r="P18" s="398"/>
      <c r="Q18" s="398"/>
      <c r="R18" s="399"/>
      <c r="S18" s="399"/>
    </row>
    <row r="19" spans="1:46" s="16" customFormat="1" ht="22.5" hidden="1" thickBot="1" x14ac:dyDescent="0.25">
      <c r="A19" s="14"/>
      <c r="B19" s="14"/>
      <c r="C19" s="14"/>
      <c r="D19" s="14"/>
      <c r="E19" s="27" t="s">
        <v>59</v>
      </c>
      <c r="F19" s="304"/>
      <c r="G19" s="31"/>
      <c r="H19" s="31"/>
      <c r="I19" s="31"/>
      <c r="J19" s="31"/>
      <c r="K19" s="15"/>
      <c r="L19" s="15"/>
      <c r="M19" s="31"/>
      <c r="N19" s="407"/>
      <c r="O19" s="400"/>
      <c r="P19" s="400"/>
      <c r="Q19" s="400"/>
      <c r="R19" s="400"/>
      <c r="S19" s="400"/>
    </row>
    <row r="20" spans="1:46" s="16" customFormat="1" ht="22.5" hidden="1" thickBot="1" x14ac:dyDescent="0.25">
      <c r="A20" s="14"/>
      <c r="B20" s="14"/>
      <c r="C20" s="554"/>
      <c r="D20" s="472"/>
      <c r="E20" s="566"/>
      <c r="F20" s="474"/>
      <c r="G20" s="31"/>
      <c r="H20" s="31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6" customFormat="1" ht="24" hidden="1" customHeight="1" x14ac:dyDescent="0.2">
      <c r="A21" s="14"/>
      <c r="B21" s="14"/>
      <c r="C21" s="14"/>
      <c r="D21" s="14"/>
      <c r="E21" s="477"/>
      <c r="F21" s="496"/>
      <c r="G21" s="31"/>
      <c r="H21" s="31"/>
      <c r="I21" s="31"/>
      <c r="J21" s="31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46" s="16" customFormat="1" ht="22.5" hidden="1" thickBot="1" x14ac:dyDescent="0.55000000000000004">
      <c r="A22" s="235">
        <f>+A20</f>
        <v>0</v>
      </c>
      <c r="B22" s="235"/>
      <c r="C22" s="235"/>
      <c r="D22" s="235"/>
      <c r="E22" s="236" t="s">
        <v>60</v>
      </c>
      <c r="F22" s="298">
        <f>SUM(F20:F21)</f>
        <v>0</v>
      </c>
      <c r="G22" s="298">
        <f>SUM(G20:G21)</f>
        <v>0</v>
      </c>
      <c r="H22" s="298">
        <f>SUM(H20:H21)</f>
        <v>0</v>
      </c>
      <c r="I22" s="237"/>
      <c r="J22" s="237">
        <f>SUM(J21:J21)</f>
        <v>0</v>
      </c>
      <c r="K22" s="237">
        <f>SUM(K21:K21)</f>
        <v>0</v>
      </c>
      <c r="L22" s="237">
        <f>SUM(L21:L21)</f>
        <v>0</v>
      </c>
      <c r="M22" s="237"/>
      <c r="N22" s="405"/>
      <c r="O22" s="402">
        <f>+F22+G22</f>
        <v>0</v>
      </c>
      <c r="P22" s="398"/>
      <c r="Q22" s="398"/>
      <c r="R22" s="400"/>
      <c r="S22" s="400"/>
    </row>
    <row r="23" spans="1:46" s="480" customFormat="1" ht="22.5" thickBot="1" x14ac:dyDescent="0.55000000000000004">
      <c r="A23" s="238">
        <f>+A18+A22</f>
        <v>6</v>
      </c>
      <c r="B23" s="239"/>
      <c r="C23" s="239"/>
      <c r="D23" s="239"/>
      <c r="E23" s="239" t="s">
        <v>428</v>
      </c>
      <c r="F23" s="299">
        <f>F18+F22</f>
        <v>11018500</v>
      </c>
      <c r="G23" s="289">
        <f>+G18+G22</f>
        <v>0</v>
      </c>
      <c r="H23" s="289">
        <f>+H18+H22</f>
        <v>0</v>
      </c>
      <c r="I23" s="240"/>
      <c r="J23" s="240" t="e">
        <f>J18+J22</f>
        <v>#REF!</v>
      </c>
      <c r="K23" s="240" t="e">
        <f>K18+K22</f>
        <v>#REF!</v>
      </c>
      <c r="L23" s="240" t="e">
        <f>L18+L22</f>
        <v>#REF!</v>
      </c>
      <c r="M23" s="240"/>
      <c r="N23" s="408"/>
      <c r="O23" s="397">
        <f>+O18+O22</f>
        <v>11018500</v>
      </c>
      <c r="P23" s="479"/>
      <c r="Q23" s="479"/>
      <c r="R23" s="399"/>
      <c r="S23" s="399"/>
      <c r="T23" s="12"/>
      <c r="U23" s="12"/>
      <c r="V23" s="12"/>
      <c r="W23" s="12"/>
      <c r="X23" s="12"/>
      <c r="Y23" s="12"/>
      <c r="Z23" s="12"/>
      <c r="AA23" s="12"/>
    </row>
    <row r="24" spans="1:46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5" spans="1:46" s="16" customFormat="1" x14ac:dyDescent="0.5">
      <c r="A25" s="481"/>
      <c r="B25" s="481"/>
      <c r="C25" s="481"/>
      <c r="D25" s="481"/>
      <c r="E25" s="482"/>
      <c r="F25" s="32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7" spans="1:46" s="77" customFormat="1" x14ac:dyDescent="0.5">
      <c r="A27" s="483"/>
      <c r="B27" s="483"/>
      <c r="C27" s="483"/>
      <c r="D27" s="483"/>
      <c r="F27" s="270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x14ac:dyDescent="0.5">
      <c r="A28" s="483"/>
      <c r="B28" s="483"/>
      <c r="C28" s="483"/>
      <c r="D28" s="483"/>
      <c r="F28" s="270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F29" s="270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F30" s="270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</sheetData>
  <autoFilter ref="N1:N30"/>
  <mergeCells count="20">
    <mergeCell ref="A5:A8"/>
    <mergeCell ref="B5:B8"/>
    <mergeCell ref="D5:D8"/>
    <mergeCell ref="M5:M8"/>
    <mergeCell ref="A1:M1"/>
    <mergeCell ref="A2:M2"/>
    <mergeCell ref="A3:M3"/>
    <mergeCell ref="F4:G4"/>
    <mergeCell ref="C5:C8"/>
    <mergeCell ref="K5:K8"/>
    <mergeCell ref="I5:I8"/>
    <mergeCell ref="F5:H5"/>
    <mergeCell ref="H6:H8"/>
    <mergeCell ref="Q5:Q8"/>
    <mergeCell ref="L5:L8"/>
    <mergeCell ref="J5:J8"/>
    <mergeCell ref="G6:G8"/>
    <mergeCell ref="E5:E8"/>
    <mergeCell ref="F6:F8"/>
    <mergeCell ref="P5:P8"/>
  </mergeCells>
  <phoneticPr fontId="2" type="noConversion"/>
  <conditionalFormatting sqref="F20 F11:F16">
    <cfRule type="cellIs" dxfId="44" priority="1" stopIfTrue="1" operator="between">
      <formula>2000001</formula>
      <formula>500000000</formula>
    </cfRule>
  </conditionalFormatting>
  <pageMargins left="0.55118110236220474" right="0.55118110236220474" top="0.74803149606299213" bottom="0.35433070866141736" header="0.15748031496062992" footer="0.19685039370078741"/>
  <pageSetup paperSize="9" scale="80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9"/>
  <sheetViews>
    <sheetView topLeftCell="A13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85546875" style="486" customWidth="1"/>
    <col min="4" max="4" width="6.85546875" style="486" customWidth="1"/>
    <col min="5" max="5" width="43" style="460" customWidth="1"/>
    <col min="6" max="6" width="14.85546875" style="559" customWidth="1"/>
    <col min="7" max="7" width="12.140625" style="488" customWidth="1"/>
    <col min="8" max="8" width="12.140625" style="488" hidden="1" customWidth="1"/>
    <col min="9" max="9" width="31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1.570312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11</v>
      </c>
      <c r="Q2" s="397" t="e">
        <f>+F11+#REF!+#REF!+#REF!+#REF!+F12+F13+F14+F15+#REF!+#REF!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1</v>
      </c>
      <c r="Q3" s="462" t="e">
        <f>+#REF!</f>
        <v>#REF!</v>
      </c>
      <c r="R3" s="463">
        <v>1</v>
      </c>
      <c r="S3" s="462">
        <f>+F19</f>
        <v>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27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284" customFormat="1" ht="71.25" x14ac:dyDescent="0.2">
      <c r="A11" s="261">
        <v>1</v>
      </c>
      <c r="B11" s="261"/>
      <c r="C11" s="584" t="s">
        <v>429</v>
      </c>
      <c r="D11" s="472" t="s">
        <v>27</v>
      </c>
      <c r="E11" s="473" t="s">
        <v>430</v>
      </c>
      <c r="F11" s="474">
        <v>895500</v>
      </c>
      <c r="G11" s="281"/>
      <c r="H11" s="281"/>
      <c r="I11" s="508" t="str">
        <f>+[22]รพ.ตร.!I11</f>
        <v>อยู่ระหว่างปรับลดเหลือ 5 คัน (จากคันละ 99,500 บาท เป็น คันละ 149,800 บาท)</v>
      </c>
      <c r="J11" s="285"/>
      <c r="K11" s="283"/>
      <c r="L11" s="283"/>
      <c r="M11" s="508" t="str">
        <f>+[22]รพ.ตร.!M11</f>
        <v>อยู่ระหว่างปรับลดเหลือ 5 คัน (จากคันละ 99,500 บาท เป็น คันละ 149,800 บาท)</v>
      </c>
      <c r="N11" s="410">
        <v>1</v>
      </c>
      <c r="O11" s="401"/>
      <c r="P11" s="401"/>
      <c r="Q11" s="401"/>
      <c r="R11" s="401"/>
      <c r="S11" s="401"/>
    </row>
    <row r="12" spans="1:38" s="284" customFormat="1" ht="71.25" customHeight="1" x14ac:dyDescent="0.2">
      <c r="A12" s="261">
        <v>2</v>
      </c>
      <c r="B12" s="261"/>
      <c r="C12" s="584" t="s">
        <v>429</v>
      </c>
      <c r="D12" s="472" t="s">
        <v>27</v>
      </c>
      <c r="E12" s="473" t="s">
        <v>431</v>
      </c>
      <c r="F12" s="474">
        <v>150000</v>
      </c>
      <c r="G12" s="281"/>
      <c r="H12" s="281"/>
      <c r="I12" s="508" t="str">
        <f>+[22]รพ.ตร.!I12</f>
        <v>บริษัท วี เอส เอนจิเนียริ่ง จำกัด จะนำหลักประกันมาทำสัญญา    ในวันที่ 6 พ.ย.58</v>
      </c>
      <c r="J12" s="285"/>
      <c r="K12" s="283"/>
      <c r="L12" s="283"/>
      <c r="M12" s="508" t="str">
        <f>+[22]รพ.ตร.!M12</f>
        <v>ทำสัญญากับบริษัท วี เอส เอนจิเนียริ่ง จำกัด วงเงิน 120,000 บาท อยู่ระหว่างบันทึก  PO ในระบบ GFMIS</v>
      </c>
      <c r="N12" s="410">
        <v>1</v>
      </c>
      <c r="O12" s="401"/>
      <c r="P12" s="401"/>
      <c r="Q12" s="401"/>
      <c r="R12" s="401"/>
      <c r="S12" s="401"/>
    </row>
    <row r="13" spans="1:38" s="284" customFormat="1" ht="87" x14ac:dyDescent="0.2">
      <c r="A13" s="261">
        <v>3</v>
      </c>
      <c r="B13" s="261"/>
      <c r="C13" s="584" t="s">
        <v>429</v>
      </c>
      <c r="D13" s="472" t="s">
        <v>27</v>
      </c>
      <c r="E13" s="473" t="s">
        <v>432</v>
      </c>
      <c r="F13" s="474">
        <v>70000</v>
      </c>
      <c r="G13" s="281"/>
      <c r="H13" s="281"/>
      <c r="I13" s="508" t="str">
        <f>+[22]รพ.ตร.!I13</f>
        <v>บริษัท วี เอส เอนจิเนียริ่ง จำกัด จะนำหลักประกันมาทำสัญญา    ในวันที่ 6 พ.ย.58</v>
      </c>
      <c r="J13" s="285"/>
      <c r="K13" s="283"/>
      <c r="L13" s="283"/>
      <c r="M13" s="508" t="str">
        <f>+[22]รพ.ตร.!M13</f>
        <v xml:space="preserve">ทำสัญญากับบริษัท วี เอส เอนจิเนียริ่ง จำกัด วงเงิน 55,000 บาท อยู่ระหว่างบันทึก PO ในระบบ GFMIS
</v>
      </c>
      <c r="N13" s="410">
        <v>1</v>
      </c>
      <c r="O13" s="401"/>
      <c r="P13" s="401"/>
      <c r="Q13" s="401"/>
      <c r="R13" s="401"/>
      <c r="S13" s="401"/>
    </row>
    <row r="14" spans="1:38" s="284" customFormat="1" ht="69.75" customHeight="1" x14ac:dyDescent="0.2">
      <c r="A14" s="261">
        <v>4</v>
      </c>
      <c r="B14" s="261"/>
      <c r="C14" s="584" t="s">
        <v>429</v>
      </c>
      <c r="D14" s="472" t="s">
        <v>27</v>
      </c>
      <c r="E14" s="473" t="s">
        <v>433</v>
      </c>
      <c r="F14" s="474">
        <v>45000</v>
      </c>
      <c r="G14" s="281"/>
      <c r="H14" s="281"/>
      <c r="I14" s="508" t="str">
        <f>+[22]รพ.ตร.!I14</f>
        <v xml:space="preserve"> อยู่ระหว่างปรับลดจำนวนเหลือจำนวน  2 เครื่อง ( จากเครื่องละ 15,000 บาท เป็นเครืองละ 22,500 บาท) </v>
      </c>
      <c r="J14" s="285"/>
      <c r="K14" s="283"/>
      <c r="L14" s="283"/>
      <c r="M14" s="508" t="str">
        <f>+[22]รพ.ตร.!M14</f>
        <v xml:space="preserve"> อยู่ระหว่างปรับลดจำนวนเหลือจำนวน  2 เครื่อง ( จากเครื่องละ 15,000 บาท เป็นเครืองละ 22,500 บาท) </v>
      </c>
      <c r="N14" s="410">
        <v>1</v>
      </c>
      <c r="O14" s="401"/>
      <c r="P14" s="401"/>
      <c r="Q14" s="401"/>
      <c r="R14" s="401"/>
      <c r="S14" s="401"/>
    </row>
    <row r="15" spans="1:38" s="284" customFormat="1" ht="72" customHeight="1" x14ac:dyDescent="0.2">
      <c r="A15" s="261">
        <v>5</v>
      </c>
      <c r="B15" s="261"/>
      <c r="C15" s="584" t="s">
        <v>429</v>
      </c>
      <c r="D15" s="472" t="s">
        <v>27</v>
      </c>
      <c r="E15" s="473" t="s">
        <v>434</v>
      </c>
      <c r="F15" s="474">
        <v>13000</v>
      </c>
      <c r="G15" s="281"/>
      <c r="H15" s="281"/>
      <c r="I15" s="508" t="str">
        <f>+[22]รพ.ตร.!I15</f>
        <v>บริษัท วี เอส เอนจิเนียริ่ง จำกัด จะนำหลักประกันมาทำสัญญา    ในวันที่ 6 พ.ย.58</v>
      </c>
      <c r="J15" s="285"/>
      <c r="K15" s="283"/>
      <c r="L15" s="283"/>
      <c r="M15" s="508" t="str">
        <f>+[22]รพ.ตร.!M15</f>
        <v>ทำสัญญากับบริษัท วี เอส เอนจิเนียริ่ง จำกัด วงเงิน 8,500 บาท อยู่ระหว่างบันทึก PO ในระบบ GFMIS</v>
      </c>
      <c r="N15" s="410">
        <v>1</v>
      </c>
      <c r="O15" s="401"/>
      <c r="P15" s="401"/>
      <c r="Q15" s="401"/>
      <c r="R15" s="401"/>
      <c r="S15" s="401"/>
    </row>
    <row r="16" spans="1:38" s="16" customFormat="1" ht="22.5" customHeight="1" x14ac:dyDescent="0.5">
      <c r="A16" s="14"/>
      <c r="B16" s="476"/>
      <c r="C16" s="476"/>
      <c r="D16" s="476"/>
      <c r="E16" s="477"/>
      <c r="F16" s="478"/>
      <c r="G16" s="31"/>
      <c r="H16" s="31"/>
      <c r="I16" s="288"/>
      <c r="J16" s="263"/>
      <c r="K16" s="15"/>
      <c r="L16" s="15"/>
      <c r="M16" s="288"/>
      <c r="N16" s="407"/>
      <c r="O16" s="400"/>
      <c r="P16" s="400"/>
      <c r="Q16" s="400"/>
      <c r="R16" s="400"/>
      <c r="S16" s="400"/>
    </row>
    <row r="17" spans="1:46" s="12" customFormat="1" ht="22.5" thickBot="1" x14ac:dyDescent="0.55000000000000004">
      <c r="A17" s="232">
        <f>+A15</f>
        <v>5</v>
      </c>
      <c r="B17" s="232"/>
      <c r="C17" s="232"/>
      <c r="D17" s="232"/>
      <c r="E17" s="233" t="s">
        <v>58</v>
      </c>
      <c r="F17" s="297">
        <f>SUM(F11:F16)</f>
        <v>1173500</v>
      </c>
      <c r="G17" s="234">
        <f>SUM(G16:G16)</f>
        <v>0</v>
      </c>
      <c r="H17" s="234">
        <f>SUM(H16:H16)</f>
        <v>0</v>
      </c>
      <c r="I17" s="232"/>
      <c r="J17" s="268">
        <f>SUM(J16:J16)</f>
        <v>0</v>
      </c>
      <c r="K17" s="234">
        <f>SUM(K16:K16)</f>
        <v>0</v>
      </c>
      <c r="L17" s="234">
        <f>SUM(L16:L16)</f>
        <v>0</v>
      </c>
      <c r="M17" s="232"/>
      <c r="N17" s="406"/>
      <c r="O17" s="397">
        <f>+F17+G17</f>
        <v>1173500</v>
      </c>
      <c r="P17" s="398"/>
      <c r="Q17" s="398"/>
      <c r="R17" s="399"/>
      <c r="S17" s="399"/>
    </row>
    <row r="18" spans="1:46" s="16" customFormat="1" hidden="1" x14ac:dyDescent="0.2">
      <c r="A18" s="14"/>
      <c r="B18" s="14"/>
      <c r="C18" s="14"/>
      <c r="D18" s="14"/>
      <c r="E18" s="27" t="s">
        <v>59</v>
      </c>
      <c r="F18" s="304" t="s">
        <v>435</v>
      </c>
      <c r="G18" s="31"/>
      <c r="H18" s="31"/>
      <c r="I18" s="497"/>
      <c r="J18" s="263"/>
      <c r="K18" s="15"/>
      <c r="L18" s="15"/>
      <c r="M18" s="497"/>
      <c r="N18" s="407"/>
      <c r="O18" s="400"/>
      <c r="P18" s="400"/>
      <c r="Q18" s="400"/>
      <c r="R18" s="400"/>
      <c r="S18" s="400"/>
    </row>
    <row r="19" spans="1:46" s="284" customFormat="1" ht="45.75" hidden="1" customHeight="1" x14ac:dyDescent="0.2">
      <c r="A19" s="425"/>
      <c r="B19" s="425"/>
      <c r="C19" s="556"/>
      <c r="D19" s="469"/>
      <c r="E19" s="512"/>
      <c r="F19" s="585"/>
      <c r="G19" s="428"/>
      <c r="H19" s="321"/>
      <c r="I19" s="505"/>
      <c r="J19" s="285"/>
      <c r="K19" s="283"/>
      <c r="L19" s="283"/>
      <c r="M19" s="505"/>
      <c r="N19" s="410"/>
      <c r="O19" s="401"/>
      <c r="P19" s="401"/>
      <c r="Q19" s="401"/>
      <c r="R19" s="401"/>
      <c r="S19" s="401"/>
    </row>
    <row r="20" spans="1:46" s="16" customFormat="1" ht="23.25" hidden="1" customHeight="1" x14ac:dyDescent="0.2">
      <c r="A20" s="14"/>
      <c r="B20" s="14"/>
      <c r="C20" s="14"/>
      <c r="D20" s="14"/>
      <c r="E20" s="477"/>
      <c r="F20" s="496"/>
      <c r="G20" s="30"/>
      <c r="H20" s="30"/>
      <c r="I20" s="31"/>
      <c r="J20" s="263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6" customFormat="1" ht="22.5" hidden="1" thickBot="1" x14ac:dyDescent="0.55000000000000004">
      <c r="A21" s="235">
        <f>+A19</f>
        <v>0</v>
      </c>
      <c r="B21" s="235"/>
      <c r="C21" s="235"/>
      <c r="D21" s="235"/>
      <c r="E21" s="236" t="s">
        <v>60</v>
      </c>
      <c r="F21" s="298">
        <f>SUM(F19:F19)</f>
        <v>0</v>
      </c>
      <c r="G21" s="237">
        <f>SUM(G19:G19)</f>
        <v>0</v>
      </c>
      <c r="H21" s="237">
        <f>SUM(H19:H19)</f>
        <v>0</v>
      </c>
      <c r="I21" s="237"/>
      <c r="J21" s="237">
        <f>SUM(J19:J19)</f>
        <v>0</v>
      </c>
      <c r="K21" s="237">
        <f>SUM(K19:K19)</f>
        <v>0</v>
      </c>
      <c r="L21" s="237">
        <f>SUM(L19:L19)</f>
        <v>0</v>
      </c>
      <c r="M21" s="237"/>
      <c r="N21" s="405"/>
      <c r="O21" s="402">
        <f>+F21+G21</f>
        <v>0</v>
      </c>
      <c r="P21" s="398"/>
      <c r="Q21" s="398"/>
      <c r="R21" s="400"/>
      <c r="S21" s="400"/>
    </row>
    <row r="22" spans="1:46" s="480" customFormat="1" ht="22.5" thickBot="1" x14ac:dyDescent="0.55000000000000004">
      <c r="A22" s="238">
        <f>+A17+A21</f>
        <v>5</v>
      </c>
      <c r="B22" s="239"/>
      <c r="C22" s="239"/>
      <c r="D22" s="239"/>
      <c r="E22" s="239" t="s">
        <v>436</v>
      </c>
      <c r="F22" s="299">
        <f>F17+F21</f>
        <v>1173500</v>
      </c>
      <c r="G22" s="289">
        <f>+G17+G21</f>
        <v>0</v>
      </c>
      <c r="H22" s="289">
        <f>+H17+H21</f>
        <v>0</v>
      </c>
      <c r="I22" s="240"/>
      <c r="J22" s="240">
        <f>J17+J21</f>
        <v>0</v>
      </c>
      <c r="K22" s="240">
        <f>K17+K21</f>
        <v>0</v>
      </c>
      <c r="L22" s="240">
        <f>L17+L21</f>
        <v>0</v>
      </c>
      <c r="M22" s="240"/>
      <c r="N22" s="408"/>
      <c r="O22" s="397">
        <f>+O17+O21</f>
        <v>1173500</v>
      </c>
      <c r="P22" s="479"/>
      <c r="Q22" s="479"/>
      <c r="R22" s="399"/>
      <c r="S22" s="399"/>
      <c r="T22" s="12"/>
      <c r="U22" s="12"/>
      <c r="V22" s="12"/>
      <c r="W22" s="12"/>
      <c r="X22" s="12"/>
      <c r="Y22" s="12"/>
      <c r="Z22" s="12"/>
      <c r="AA22" s="12"/>
    </row>
    <row r="23" spans="1:46" s="16" customFormat="1" x14ac:dyDescent="0.2">
      <c r="A23" s="481"/>
      <c r="B23" s="481"/>
      <c r="C23" s="481"/>
      <c r="D23" s="481"/>
      <c r="E23" s="482"/>
      <c r="F23" s="558"/>
      <c r="G23" s="375"/>
      <c r="H23" s="375"/>
      <c r="I23" s="375"/>
      <c r="J23" s="375"/>
      <c r="K23" s="376"/>
      <c r="L23" s="376"/>
      <c r="M23" s="375"/>
      <c r="N23" s="407"/>
      <c r="O23" s="400"/>
      <c r="P23" s="400"/>
      <c r="Q23" s="400"/>
      <c r="R23" s="400"/>
      <c r="S23" s="400"/>
    </row>
    <row r="24" spans="1:46" s="16" customFormat="1" x14ac:dyDescent="0.5">
      <c r="A24" s="481"/>
      <c r="B24" s="481"/>
      <c r="C24" s="481"/>
      <c r="D24" s="481"/>
      <c r="E24" s="482"/>
      <c r="F24" s="32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6" spans="1:46" s="77" customFormat="1" x14ac:dyDescent="0.5">
      <c r="A26" s="483"/>
      <c r="B26" s="483"/>
      <c r="C26" s="483"/>
      <c r="D26" s="483"/>
      <c r="F26" s="270"/>
      <c r="G26" s="119"/>
      <c r="H26" s="119"/>
      <c r="I26" s="119"/>
      <c r="J26" s="119"/>
      <c r="K26" s="484"/>
      <c r="L26" s="484"/>
      <c r="M26" s="119"/>
      <c r="N26" s="465"/>
      <c r="O26" s="399"/>
      <c r="P26" s="399"/>
      <c r="Q26" s="399"/>
      <c r="R26" s="399"/>
      <c r="S26" s="399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  <row r="27" spans="1:46" s="77" customFormat="1" x14ac:dyDescent="0.5">
      <c r="A27" s="483"/>
      <c r="B27" s="483"/>
      <c r="C27" s="483"/>
      <c r="D27" s="483"/>
      <c r="F27" s="270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x14ac:dyDescent="0.5">
      <c r="A28" s="483"/>
      <c r="B28" s="483"/>
      <c r="C28" s="483"/>
      <c r="D28" s="483"/>
      <c r="F28" s="270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F29" s="270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</sheetData>
  <autoFilter ref="N1:N29"/>
  <mergeCells count="20">
    <mergeCell ref="B5:B8"/>
    <mergeCell ref="A1:M1"/>
    <mergeCell ref="A2:M2"/>
    <mergeCell ref="A3:M3"/>
    <mergeCell ref="F4:G4"/>
    <mergeCell ref="A5:A8"/>
    <mergeCell ref="Q5:Q8"/>
    <mergeCell ref="C5:C8"/>
    <mergeCell ref="K5:K8"/>
    <mergeCell ref="D5:D8"/>
    <mergeCell ref="J5:J8"/>
    <mergeCell ref="P5:P8"/>
    <mergeCell ref="I5:I8"/>
    <mergeCell ref="F5:H5"/>
    <mergeCell ref="H6:H8"/>
    <mergeCell ref="M5:M8"/>
    <mergeCell ref="L5:L8"/>
    <mergeCell ref="E5:E8"/>
    <mergeCell ref="F6:F8"/>
    <mergeCell ref="G6:G8"/>
  </mergeCells>
  <phoneticPr fontId="2" type="noConversion"/>
  <conditionalFormatting sqref="F19 F11">
    <cfRule type="cellIs" dxfId="43" priority="7" stopIfTrue="1" operator="between">
      <formula>2000001</formula>
      <formula>500000000</formula>
    </cfRule>
  </conditionalFormatting>
  <conditionalFormatting sqref="F12">
    <cfRule type="cellIs" dxfId="42" priority="3" stopIfTrue="1" operator="between">
      <formula>2000001</formula>
      <formula>500000000</formula>
    </cfRule>
  </conditionalFormatting>
  <conditionalFormatting sqref="F13">
    <cfRule type="cellIs" dxfId="41" priority="2" stopIfTrue="1" operator="between">
      <formula>2000001</formula>
      <formula>500000000</formula>
    </cfRule>
  </conditionalFormatting>
  <conditionalFormatting sqref="F14:F15">
    <cfRule type="cellIs" dxfId="40" priority="1" stopIfTrue="1" operator="between">
      <formula>2000001</formula>
      <formula>500000000</formula>
    </cfRule>
  </conditionalFormatting>
  <pageMargins left="0.47244094488188981" right="0.55118110236220474" top="0.47244094488188981" bottom="0.31496062992125984" header="0.51181102362204722" footer="0.19685039370078741"/>
  <pageSetup paperSize="9" scale="8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workbookViewId="0">
      <selection activeCell="A3" sqref="A3:M3"/>
    </sheetView>
  </sheetViews>
  <sheetFormatPr defaultColWidth="9.140625" defaultRowHeight="21.75" x14ac:dyDescent="0.5"/>
  <cols>
    <col min="1" max="1" width="5.85546875" style="617" customWidth="1"/>
    <col min="2" max="3" width="6.85546875" style="617" customWidth="1"/>
    <col min="4" max="4" width="8.42578125" style="617" customWidth="1"/>
    <col min="5" max="5" width="43" style="460" customWidth="1"/>
    <col min="6" max="6" width="16.85546875" style="559" customWidth="1"/>
    <col min="7" max="7" width="17.42578125" style="488" customWidth="1"/>
    <col min="8" max="8" width="17.42578125" style="488" hidden="1" customWidth="1"/>
    <col min="9" max="9" width="32.28515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7109375" style="488" customWidth="1"/>
    <col min="14" max="14" width="33.85546875" style="12" customWidth="1"/>
    <col min="15" max="25" width="9.140625" style="12"/>
    <col min="26" max="16384" width="9.140625" style="460"/>
  </cols>
  <sheetData>
    <row r="1" spans="1:36" ht="27.75" x14ac:dyDescent="0.65">
      <c r="A1" s="655" t="s">
        <v>679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x14ac:dyDescent="0.5">
      <c r="A3" s="656" t="s">
        <v>685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</row>
    <row r="4" spans="1:36" x14ac:dyDescent="0.5">
      <c r="A4" s="460"/>
      <c r="B4" s="460"/>
      <c r="C4" s="460"/>
      <c r="D4" s="460"/>
      <c r="F4" s="654"/>
      <c r="G4" s="654"/>
      <c r="H4" s="617"/>
      <c r="I4" s="617"/>
      <c r="J4" s="616"/>
      <c r="M4" s="617"/>
      <c r="N4" s="618"/>
      <c r="O4" s="618"/>
    </row>
    <row r="5" spans="1:36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75</v>
      </c>
      <c r="J5" s="643" t="s">
        <v>50</v>
      </c>
      <c r="K5" s="643" t="s">
        <v>51</v>
      </c>
      <c r="L5" s="657" t="s">
        <v>52</v>
      </c>
      <c r="M5" s="651" t="s">
        <v>678</v>
      </c>
      <c r="N5" s="642" t="s">
        <v>53</v>
      </c>
      <c r="O5" s="642" t="s">
        <v>54</v>
      </c>
    </row>
    <row r="6" spans="1:36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642"/>
      <c r="O6" s="642"/>
    </row>
    <row r="7" spans="1:36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642"/>
      <c r="O7" s="642"/>
    </row>
    <row r="8" spans="1:36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642"/>
      <c r="O8" s="642"/>
    </row>
    <row r="9" spans="1:36" x14ac:dyDescent="0.5">
      <c r="A9" s="10"/>
      <c r="B9" s="10"/>
      <c r="C9" s="10"/>
      <c r="D9" s="10"/>
      <c r="E9" s="29" t="s">
        <v>20</v>
      </c>
      <c r="F9" s="10"/>
      <c r="G9" s="100"/>
      <c r="H9" s="100"/>
      <c r="I9" s="100"/>
      <c r="J9" s="100"/>
      <c r="K9" s="468"/>
      <c r="L9" s="468"/>
      <c r="M9" s="100"/>
    </row>
    <row r="10" spans="1:36" s="16" customFormat="1" hidden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</row>
    <row r="11" spans="1:36" s="284" customFormat="1" hidden="1" x14ac:dyDescent="0.2">
      <c r="A11" s="14"/>
      <c r="B11" s="261"/>
      <c r="C11" s="554"/>
      <c r="D11" s="261"/>
      <c r="E11" s="555"/>
      <c r="F11" s="534"/>
      <c r="G11" s="281"/>
      <c r="H11" s="281"/>
      <c r="I11" s="281"/>
      <c r="J11" s="281"/>
      <c r="K11" s="283"/>
      <c r="L11" s="283"/>
      <c r="M11" s="281"/>
    </row>
    <row r="12" spans="1:36" s="284" customFormat="1" hidden="1" x14ac:dyDescent="0.2">
      <c r="A12" s="14"/>
      <c r="B12" s="261"/>
      <c r="C12" s="554"/>
      <c r="D12" s="261"/>
      <c r="E12" s="555"/>
      <c r="F12" s="534"/>
      <c r="G12" s="281"/>
      <c r="H12" s="281"/>
      <c r="I12" s="281"/>
      <c r="J12" s="281"/>
      <c r="K12" s="283"/>
      <c r="L12" s="283"/>
      <c r="M12" s="281"/>
    </row>
    <row r="13" spans="1:36" s="284" customFormat="1" hidden="1" x14ac:dyDescent="0.2">
      <c r="A13" s="14"/>
      <c r="B13" s="261"/>
      <c r="C13" s="554"/>
      <c r="D13" s="261"/>
      <c r="E13" s="555"/>
      <c r="F13" s="534"/>
      <c r="G13" s="281"/>
      <c r="H13" s="281"/>
      <c r="I13" s="281"/>
      <c r="J13" s="281"/>
      <c r="K13" s="283"/>
      <c r="L13" s="283"/>
      <c r="M13" s="281"/>
    </row>
    <row r="14" spans="1:36" s="16" customFormat="1" hidden="1" x14ac:dyDescent="0.2">
      <c r="A14" s="14"/>
      <c r="B14" s="261"/>
      <c r="C14" s="543"/>
      <c r="D14" s="261"/>
      <c r="E14" s="473"/>
      <c r="F14" s="474"/>
      <c r="G14" s="31"/>
      <c r="H14" s="31"/>
      <c r="I14" s="31"/>
      <c r="J14" s="31"/>
      <c r="K14" s="15"/>
      <c r="L14" s="15"/>
      <c r="M14" s="31"/>
    </row>
    <row r="15" spans="1:36" s="16" customFormat="1" hidden="1" x14ac:dyDescent="0.2">
      <c r="A15" s="14"/>
      <c r="B15" s="14"/>
      <c r="C15" s="543"/>
      <c r="D15" s="261"/>
      <c r="E15" s="473"/>
      <c r="F15" s="474"/>
      <c r="G15" s="31"/>
      <c r="H15" s="31"/>
      <c r="I15" s="31"/>
      <c r="J15" s="31"/>
      <c r="K15" s="15"/>
      <c r="L15" s="15"/>
      <c r="M15" s="31"/>
    </row>
    <row r="16" spans="1:36" s="284" customFormat="1" hidden="1" x14ac:dyDescent="0.2">
      <c r="A16" s="14"/>
      <c r="B16" s="261"/>
      <c r="C16" s="543"/>
      <c r="D16" s="261"/>
      <c r="E16" s="555"/>
      <c r="F16" s="534"/>
      <c r="G16" s="281"/>
      <c r="H16" s="281"/>
      <c r="I16" s="281"/>
      <c r="J16" s="281"/>
      <c r="K16" s="283"/>
      <c r="L16" s="283"/>
      <c r="M16" s="281"/>
    </row>
    <row r="17" spans="1:25" s="16" customFormat="1" hidden="1" x14ac:dyDescent="0.2">
      <c r="A17" s="14"/>
      <c r="B17" s="261"/>
      <c r="C17" s="261"/>
      <c r="D17" s="261"/>
      <c r="E17" s="473"/>
      <c r="F17" s="474"/>
      <c r="G17" s="31"/>
      <c r="H17" s="31"/>
      <c r="I17" s="31"/>
      <c r="J17" s="31"/>
      <c r="K17" s="15"/>
      <c r="L17" s="15"/>
      <c r="M17" s="31"/>
    </row>
    <row r="18" spans="1:25" s="16" customFormat="1" hidden="1" x14ac:dyDescent="0.2">
      <c r="A18" s="14"/>
      <c r="B18" s="261"/>
      <c r="C18" s="261"/>
      <c r="D18" s="261"/>
      <c r="E18" s="473"/>
      <c r="F18" s="474"/>
      <c r="G18" s="31"/>
      <c r="H18" s="31"/>
      <c r="I18" s="31"/>
      <c r="J18" s="31"/>
      <c r="K18" s="15"/>
      <c r="L18" s="15"/>
      <c r="M18" s="31"/>
    </row>
    <row r="19" spans="1:25" s="16" customFormat="1" hidden="1" x14ac:dyDescent="0.2">
      <c r="A19" s="14"/>
      <c r="B19" s="476"/>
      <c r="C19" s="476"/>
      <c r="D19" s="476"/>
      <c r="E19" s="477"/>
      <c r="F19" s="478"/>
      <c r="G19" s="31"/>
      <c r="H19" s="31"/>
      <c r="I19" s="31"/>
      <c r="J19" s="31"/>
      <c r="K19" s="15"/>
      <c r="L19" s="15"/>
      <c r="M19" s="31"/>
    </row>
    <row r="20" spans="1:25" s="12" customFormat="1" hidden="1" x14ac:dyDescent="0.5">
      <c r="A20" s="232">
        <f>+A18</f>
        <v>0</v>
      </c>
      <c r="B20" s="232"/>
      <c r="C20" s="232"/>
      <c r="D20" s="232"/>
      <c r="E20" s="233" t="s">
        <v>58</v>
      </c>
      <c r="F20" s="297">
        <f>SUM(F17:F19)</f>
        <v>0</v>
      </c>
      <c r="G20" s="234">
        <f>SUM(G19:G19)</f>
        <v>0</v>
      </c>
      <c r="H20" s="234">
        <f>SUM(H19:H19)</f>
        <v>0</v>
      </c>
      <c r="I20" s="234"/>
      <c r="J20" s="234">
        <f>SUM(J19:J19)</f>
        <v>0</v>
      </c>
      <c r="K20" s="234">
        <f>SUM(K19:K19)</f>
        <v>0</v>
      </c>
      <c r="L20" s="234">
        <f>SUM(L19:L19)</f>
        <v>0</v>
      </c>
      <c r="M20" s="234"/>
      <c r="N20" s="231"/>
      <c r="O20" s="231"/>
    </row>
    <row r="21" spans="1:25" s="16" customFormat="1" x14ac:dyDescent="0.2">
      <c r="A21" s="14"/>
      <c r="B21" s="14"/>
      <c r="C21" s="14"/>
      <c r="D21" s="14"/>
      <c r="E21" s="27" t="s">
        <v>59</v>
      </c>
      <c r="F21" s="304"/>
      <c r="G21" s="31"/>
      <c r="H21" s="31"/>
      <c r="I21" s="31"/>
      <c r="J21" s="31"/>
      <c r="K21" s="15"/>
      <c r="L21" s="15"/>
      <c r="M21" s="31"/>
    </row>
    <row r="22" spans="1:25" s="16" customFormat="1" x14ac:dyDescent="0.2">
      <c r="A22" s="261"/>
      <c r="B22" s="261"/>
      <c r="C22" s="554"/>
      <c r="D22" s="261"/>
      <c r="E22" s="533"/>
      <c r="F22" s="534"/>
      <c r="G22" s="281"/>
      <c r="H22" s="281"/>
      <c r="I22" s="281"/>
      <c r="J22" s="31"/>
      <c r="K22" s="15"/>
      <c r="L22" s="15"/>
      <c r="M22" s="281"/>
    </row>
    <row r="23" spans="1:25" s="16" customFormat="1" ht="135" x14ac:dyDescent="0.2">
      <c r="A23" s="261">
        <v>1</v>
      </c>
      <c r="B23" s="14"/>
      <c r="C23" s="554" t="s">
        <v>673</v>
      </c>
      <c r="D23" s="261" t="s">
        <v>20</v>
      </c>
      <c r="E23" s="555" t="s">
        <v>672</v>
      </c>
      <c r="F23" s="534">
        <v>7864000</v>
      </c>
      <c r="G23" s="31"/>
      <c r="H23" s="31"/>
      <c r="I23" s="31"/>
      <c r="J23" s="31"/>
      <c r="K23" s="15"/>
      <c r="L23" s="15"/>
      <c r="M23" s="31"/>
    </row>
    <row r="24" spans="1:25" s="16" customFormat="1" x14ac:dyDescent="0.2">
      <c r="A24" s="14"/>
      <c r="B24" s="14"/>
      <c r="C24" s="14"/>
      <c r="D24" s="14"/>
      <c r="E24" s="477"/>
      <c r="F24" s="496"/>
      <c r="G24" s="31"/>
      <c r="H24" s="31"/>
      <c r="I24" s="31"/>
      <c r="J24" s="31"/>
      <c r="K24" s="15"/>
      <c r="L24" s="15"/>
      <c r="M24" s="31"/>
    </row>
    <row r="25" spans="1:25" s="16" customFormat="1" ht="22.5" thickBot="1" x14ac:dyDescent="0.55000000000000004">
      <c r="A25" s="235">
        <f>+A23</f>
        <v>1</v>
      </c>
      <c r="B25" s="235"/>
      <c r="C25" s="235"/>
      <c r="D25" s="235"/>
      <c r="E25" s="236" t="s">
        <v>60</v>
      </c>
      <c r="F25" s="298">
        <f>SUM(F23:F24)</f>
        <v>7864000</v>
      </c>
      <c r="G25" s="237">
        <f>SUM(G22:G24)</f>
        <v>0</v>
      </c>
      <c r="H25" s="237">
        <f>SUM(H22:H24)</f>
        <v>0</v>
      </c>
      <c r="I25" s="237"/>
      <c r="J25" s="237">
        <f>SUM(J22:J24)</f>
        <v>0</v>
      </c>
      <c r="K25" s="237">
        <f>SUM(K22:K24)</f>
        <v>0</v>
      </c>
      <c r="L25" s="237">
        <f>SUM(L22:L24)</f>
        <v>0</v>
      </c>
      <c r="M25" s="237"/>
      <c r="N25" s="231"/>
      <c r="O25" s="231"/>
    </row>
    <row r="26" spans="1:25" s="480" customFormat="1" ht="22.5" thickBot="1" x14ac:dyDescent="0.55000000000000004">
      <c r="A26" s="238">
        <f>+A20+A25</f>
        <v>1</v>
      </c>
      <c r="B26" s="239"/>
      <c r="C26" s="239"/>
      <c r="D26" s="239"/>
      <c r="E26" s="239" t="s">
        <v>295</v>
      </c>
      <c r="F26" s="299">
        <f>F20+F25</f>
        <v>7864000</v>
      </c>
      <c r="G26" s="240">
        <f>+G20+G25</f>
        <v>0</v>
      </c>
      <c r="H26" s="240">
        <f>+H20+H25</f>
        <v>0</v>
      </c>
      <c r="I26" s="240"/>
      <c r="J26" s="240">
        <f>J20+J25</f>
        <v>0</v>
      </c>
      <c r="K26" s="240">
        <f>K20+K25</f>
        <v>0</v>
      </c>
      <c r="L26" s="240">
        <f>L20+L25</f>
        <v>0</v>
      </c>
      <c r="M26" s="240"/>
      <c r="N26" s="619"/>
      <c r="O26" s="619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</row>
    <row r="28" spans="1:25" s="16" customFormat="1" x14ac:dyDescent="0.2">
      <c r="A28" s="481"/>
      <c r="B28" s="481"/>
      <c r="C28" s="481"/>
      <c r="D28" s="481"/>
      <c r="E28" s="482"/>
      <c r="F28" s="558"/>
      <c r="G28" s="375"/>
      <c r="H28" s="375"/>
      <c r="I28" s="375"/>
      <c r="J28" s="375"/>
      <c r="K28" s="376"/>
      <c r="L28" s="376"/>
      <c r="M28" s="375"/>
    </row>
    <row r="29" spans="1:25" s="16" customFormat="1" x14ac:dyDescent="0.2">
      <c r="A29" s="481"/>
      <c r="B29" s="481"/>
      <c r="C29" s="481"/>
      <c r="D29" s="481"/>
      <c r="E29" s="482"/>
      <c r="F29" s="558"/>
      <c r="G29" s="375"/>
      <c r="H29" s="375"/>
      <c r="I29" s="375"/>
      <c r="J29" s="375"/>
      <c r="K29" s="376"/>
      <c r="L29" s="376"/>
      <c r="M29" s="375"/>
    </row>
    <row r="30" spans="1:25" s="16" customFormat="1" x14ac:dyDescent="0.2">
      <c r="A30" s="481"/>
      <c r="B30" s="481"/>
      <c r="C30" s="481"/>
      <c r="D30" s="481"/>
      <c r="E30" s="482"/>
      <c r="F30" s="558"/>
      <c r="G30" s="375"/>
      <c r="H30" s="375"/>
      <c r="I30" s="375"/>
      <c r="J30" s="375"/>
      <c r="K30" s="376"/>
      <c r="L30" s="376"/>
      <c r="M30" s="375"/>
    </row>
    <row r="31" spans="1:25" s="16" customFormat="1" x14ac:dyDescent="0.2">
      <c r="A31" s="481"/>
      <c r="B31" s="481"/>
      <c r="C31" s="481"/>
      <c r="D31" s="481"/>
      <c r="E31" s="482"/>
      <c r="F31" s="558"/>
      <c r="G31" s="375"/>
      <c r="H31" s="375"/>
      <c r="I31" s="375"/>
      <c r="J31" s="375"/>
      <c r="K31" s="376"/>
      <c r="L31" s="376"/>
      <c r="M31" s="375"/>
    </row>
    <row r="32" spans="1:25" s="16" customFormat="1" x14ac:dyDescent="0.2">
      <c r="A32" s="481"/>
      <c r="B32" s="481"/>
      <c r="C32" s="481"/>
      <c r="D32" s="481"/>
      <c r="E32" s="482"/>
      <c r="F32" s="558"/>
      <c r="G32" s="375"/>
      <c r="H32" s="375"/>
      <c r="I32" s="375"/>
      <c r="J32" s="375"/>
      <c r="K32" s="376"/>
      <c r="L32" s="376"/>
      <c r="M32" s="375"/>
    </row>
    <row r="33" spans="1:44" s="16" customFormat="1" x14ac:dyDescent="0.2">
      <c r="A33" s="481"/>
      <c r="B33" s="481"/>
      <c r="C33" s="481"/>
      <c r="D33" s="481"/>
      <c r="E33" s="482"/>
      <c r="F33" s="558"/>
      <c r="G33" s="375"/>
      <c r="H33" s="375"/>
      <c r="I33" s="375"/>
      <c r="J33" s="375"/>
      <c r="K33" s="376"/>
      <c r="L33" s="376"/>
      <c r="M33" s="375"/>
    </row>
    <row r="34" spans="1:44" s="16" customFormat="1" x14ac:dyDescent="0.5">
      <c r="A34" s="481"/>
      <c r="B34" s="481"/>
      <c r="C34" s="481"/>
      <c r="D34" s="481"/>
      <c r="E34" s="621" t="s">
        <v>61</v>
      </c>
      <c r="F34" s="622">
        <f>SUM(บช.น.!F27+ภ.1!F18+ภ.2!F23+ภ.4!F21+ภ.6!F17+ภ.7!F15+ภ.9!F19+ศชต.!F27+บช.ก.!F34+บช.ปส.!F28+บช.ส.!F16+สตม.!F22+บช.ตชด.!F38+สง.นรป.!F13+สพฐ.ตร.!F19+สทส.!F22+บช.ศ.!F25+รร.นรต.!F18+รพ.ตร.!F17+สยศ.ตร.!F14+สกบ.!F44+สกพ.!F12+สงป.!F13+กมค.!F19+สง.ก.ตร.!F16+จต.!F13+สตส.!F13+สท.!F19+สง.ก.ต.ช.!F13+บ.ตร.!F22+วน.!F15)</f>
        <v>3115126100</v>
      </c>
      <c r="G34" s="415" t="s">
        <v>62</v>
      </c>
      <c r="H34" s="415"/>
      <c r="I34" s="375"/>
      <c r="J34" s="380">
        <f>SUM(บช.น.!A27+ภ.1!A18+ภ.2!A23+ภ.4!A21+ภ.6!A17+ภ.7!A15+ภ.9!A19+ศชต.!A27+ภ.5!A28+ภ.8!A27+บช.ก.!A34+บช.ปส.!A28+บช.ส.!A16+สตม.!A22+บช.ตชด.!A38+สง.นรป.!A13+สพฐ.ตร.!A19+สทส.!A22+บช.ศ.!A25+รร.นรต.!A18+รพ.ตร.!A17+สยศ.ตร.!A14+สกบ.!A44+สกพ.!A12+สงป.!A13+กมค.!A19+สง.ก.ตร.!A16+จต.!A13+สตส.!A13+สท.!A19+สง.ก.ต.ช.!A13+บ.ตร.!A22+วน.!A15+สลก.ตร.!A19+ตท.!A21)</f>
        <v>275</v>
      </c>
      <c r="K34" s="376"/>
      <c r="L34" s="376"/>
      <c r="M34" s="375"/>
    </row>
    <row r="35" spans="1:44" x14ac:dyDescent="0.5">
      <c r="E35" s="623" t="s">
        <v>63</v>
      </c>
      <c r="F35" s="624">
        <f>SUM(บช.น.!F31+ภ.1!F22+ภ.2!F29+ภ.3!F21+ภ.4!F25+ภ.5!F36+ภ.6!F33+ภ.7!F19+ภ.8!F35+ภ.9!F25+ศชต.!F54+บช.ก.!F38+บช.ส.!F22+สตม.!F33+บช.ตชด.!F82+สพฐ.ตร.!F25+สทส.!F27+บช.ศ.!F37+รพ.ตร.!F21+สกบ.!F54+สกพ.!F18+กมค.!F24+บ.ตร.!F29)</f>
        <v>1613643200</v>
      </c>
      <c r="G35" s="415" t="s">
        <v>62</v>
      </c>
      <c r="H35" s="415"/>
      <c r="I35" s="375"/>
      <c r="J35" s="620">
        <f>SUM(บช.น.!A31+ภ.1!A22+ภ.2!A29+ภ.3!A21+ภ.4!A25+ภ.5!A36+ภ.6!A33+ภ.7!A19+ภ.8!A35+ภ.9!A25+ศชต.!A54+บช.ก.!A38+บช.ปส.!A43+บช.ส.!A22+สตม.!A33+บช.ตชด.!A82+สง.นรป.!A17+สพฐ.ตร.!A25+สทส.!A27+บช.ศ.!A37+รร.นรต.!A22+รพ.ตร.!A21+สยศ.ตร.!A18+สกบ.!A54+สกพ.!A18+สงป.!A17+กมค.!A24+สง.ก.ตร.!A20+จต.!A17+สตส.!A17+สลก.ตร.!A23+ตท.!A25+สท.!A23+สง.ก.ต.ช.!A17+บ.ตร.!A29+วน.!A19)</f>
        <v>141</v>
      </c>
      <c r="M35" s="375"/>
    </row>
    <row r="36" spans="1:44" s="77" customFormat="1" ht="22.5" thickBot="1" x14ac:dyDescent="0.55000000000000004">
      <c r="A36" s="483"/>
      <c r="B36" s="483"/>
      <c r="C36" s="483"/>
      <c r="D36" s="483"/>
      <c r="E36" s="461" t="s">
        <v>64</v>
      </c>
      <c r="F36" s="625"/>
      <c r="G36" s="626"/>
      <c r="H36" s="627"/>
      <c r="I36" s="119"/>
      <c r="J36" s="119"/>
      <c r="K36" s="484"/>
      <c r="L36" s="484"/>
      <c r="M36" s="119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</row>
    <row r="37" spans="1:44" s="77" customFormat="1" ht="22.5" thickTop="1" x14ac:dyDescent="0.5">
      <c r="A37" s="483"/>
      <c r="B37" s="483"/>
      <c r="C37" s="483"/>
      <c r="D37" s="483"/>
      <c r="E37" s="461" t="s">
        <v>65</v>
      </c>
      <c r="F37" s="624"/>
      <c r="G37" s="627"/>
      <c r="H37" s="627"/>
      <c r="I37" s="119"/>
      <c r="J37" s="119"/>
      <c r="K37" s="484"/>
      <c r="L37" s="484"/>
      <c r="M37" s="119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</row>
    <row r="38" spans="1:44" s="77" customFormat="1" x14ac:dyDescent="0.5">
      <c r="A38" s="483"/>
      <c r="B38" s="483"/>
      <c r="C38" s="483"/>
      <c r="D38" s="483"/>
      <c r="E38" s="461" t="s">
        <v>66</v>
      </c>
      <c r="F38" s="624"/>
      <c r="G38" s="627"/>
      <c r="H38" s="627"/>
      <c r="I38" s="119"/>
      <c r="J38" s="119"/>
      <c r="K38" s="484"/>
      <c r="L38" s="484"/>
      <c r="M38" s="119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</row>
    <row r="39" spans="1:44" s="77" customFormat="1" x14ac:dyDescent="0.5">
      <c r="A39" s="483"/>
      <c r="B39" s="483"/>
      <c r="C39" s="483"/>
      <c r="D39" s="483"/>
      <c r="E39" s="461" t="s">
        <v>67</v>
      </c>
      <c r="F39" s="624"/>
      <c r="G39" s="627"/>
      <c r="H39" s="627"/>
      <c r="I39" s="119"/>
      <c r="J39" s="119"/>
      <c r="K39" s="484"/>
      <c r="L39" s="484"/>
      <c r="M39" s="119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</row>
    <row r="40" spans="1:44" x14ac:dyDescent="0.5">
      <c r="E40" s="461"/>
      <c r="F40" s="624"/>
      <c r="G40" s="627"/>
      <c r="H40" s="627"/>
    </row>
  </sheetData>
  <mergeCells count="20">
    <mergeCell ref="O5:O8"/>
    <mergeCell ref="F6:F8"/>
    <mergeCell ref="G6:G8"/>
    <mergeCell ref="H6:H8"/>
    <mergeCell ref="I5:I8"/>
    <mergeCell ref="J5:J8"/>
    <mergeCell ref="K5:K8"/>
    <mergeCell ref="L5:L8"/>
    <mergeCell ref="M5:M8"/>
    <mergeCell ref="N5:N8"/>
    <mergeCell ref="A1:M1"/>
    <mergeCell ref="A2:M2"/>
    <mergeCell ref="A3:M3"/>
    <mergeCell ref="F4:G4"/>
    <mergeCell ref="A5:A8"/>
    <mergeCell ref="B5:B8"/>
    <mergeCell ref="C5:C8"/>
    <mergeCell ref="D5:D8"/>
    <mergeCell ref="E5:E8"/>
    <mergeCell ref="F5:H5"/>
  </mergeCells>
  <pageMargins left="0.51181102362204722" right="0.51181102362204722" top="0.74803149606299213" bottom="0.74803149606299213" header="0.31496062992125984" footer="0.31496062992125984"/>
  <pageSetup paperSize="9" scale="82" orientation="landscape" blackAndWhite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6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2" width="6.5703125" style="486" customWidth="1"/>
    <col min="3" max="3" width="6.85546875" style="486" customWidth="1"/>
    <col min="4" max="4" width="7.140625" style="486" customWidth="1"/>
    <col min="5" max="5" width="42.140625" style="460" customWidth="1"/>
    <col min="6" max="6" width="13.42578125" style="487" customWidth="1"/>
    <col min="7" max="7" width="13.140625" style="488" customWidth="1"/>
    <col min="8" max="8" width="13.140625" style="488" hidden="1" customWidth="1"/>
    <col min="9" max="9" width="27.140625" style="488" customWidth="1"/>
    <col min="10" max="10" width="0.140625" style="488" hidden="1" customWidth="1"/>
    <col min="11" max="11" width="0.140625" style="464" hidden="1" customWidth="1"/>
    <col min="12" max="12" width="14.140625" style="464" hidden="1" customWidth="1"/>
    <col min="13" max="13" width="27.14062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7</v>
      </c>
      <c r="Q2" s="397" t="e">
        <f>+#REF!+#REF!+#REF!+#REF!+#REF!+F11+F12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>
        <v>1</v>
      </c>
      <c r="Q3" s="462" t="e">
        <f>+#REF!</f>
        <v>#REF!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28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08.75" x14ac:dyDescent="0.2">
      <c r="A11" s="261">
        <v>1</v>
      </c>
      <c r="B11" s="261"/>
      <c r="C11" s="554" t="s">
        <v>80</v>
      </c>
      <c r="D11" s="261" t="s">
        <v>28</v>
      </c>
      <c r="E11" s="555" t="s">
        <v>439</v>
      </c>
      <c r="F11" s="534">
        <v>752000</v>
      </c>
      <c r="G11" s="281"/>
      <c r="H11" s="281"/>
      <c r="I11" s="508" t="str">
        <f>+[23]สยศ.ตร.!I11</f>
        <v xml:space="preserve">- เปิดซองสอบราคาเมื่อ  6 ต.ค.58            - ประกาศผลเมื่อ  9 ต.ค.58                    - มีผู้ยื่นอุธรณ์เมื่อ  14 ต.ค.58 </v>
      </c>
      <c r="J11" s="508"/>
      <c r="K11" s="508"/>
      <c r="L11" s="508"/>
      <c r="M11" s="508" t="str">
        <f>+[23]สยศ.ตร.!M11</f>
        <v xml:space="preserve"> - รอลงนามในสัญญาภายในวันที่ 30 พ.ย.58 </v>
      </c>
      <c r="N11" s="407">
        <v>1</v>
      </c>
      <c r="O11" s="400"/>
      <c r="P11" s="400"/>
      <c r="Q11" s="400"/>
      <c r="R11" s="400"/>
      <c r="S11" s="400"/>
    </row>
    <row r="12" spans="1:38" s="16" customFormat="1" ht="87" x14ac:dyDescent="0.2">
      <c r="A12" s="261">
        <v>2</v>
      </c>
      <c r="B12" s="261"/>
      <c r="C12" s="554" t="s">
        <v>80</v>
      </c>
      <c r="D12" s="261" t="s">
        <v>28</v>
      </c>
      <c r="E12" s="555" t="s">
        <v>440</v>
      </c>
      <c r="F12" s="534">
        <v>273000</v>
      </c>
      <c r="G12" s="281"/>
      <c r="H12" s="281"/>
      <c r="I12" s="508">
        <f>+[23]สยศ.ตร.!I12</f>
        <v>0</v>
      </c>
      <c r="J12" s="508"/>
      <c r="K12" s="508"/>
      <c r="L12" s="508"/>
      <c r="M12" s="508" t="str">
        <f>+[23]สยศ.ตร.!M12</f>
        <v xml:space="preserve">-รอลงนามในสัญญาภายในวันที่ 30 พ.ย.58 </v>
      </c>
      <c r="N12" s="407">
        <v>1</v>
      </c>
      <c r="O12" s="400"/>
      <c r="P12" s="400"/>
      <c r="Q12" s="400"/>
      <c r="R12" s="400"/>
      <c r="S12" s="400"/>
    </row>
    <row r="13" spans="1:38" s="16" customFormat="1" x14ac:dyDescent="0.2">
      <c r="A13" s="14"/>
      <c r="B13" s="476"/>
      <c r="C13" s="476"/>
      <c r="D13" s="476"/>
      <c r="E13" s="477"/>
      <c r="F13" s="497"/>
      <c r="G13" s="31"/>
      <c r="H13" s="31"/>
      <c r="I13" s="31"/>
      <c r="J13" s="31"/>
      <c r="K13" s="15"/>
      <c r="L13" s="15"/>
      <c r="M13" s="31"/>
      <c r="N13" s="407"/>
      <c r="O13" s="400"/>
      <c r="P13" s="400"/>
      <c r="Q13" s="400"/>
      <c r="R13" s="400"/>
      <c r="S13" s="400"/>
    </row>
    <row r="14" spans="1:38" s="12" customFormat="1" ht="22.5" thickBot="1" x14ac:dyDescent="0.55000000000000004">
      <c r="A14" s="232">
        <f>+A12</f>
        <v>2</v>
      </c>
      <c r="B14" s="232"/>
      <c r="C14" s="232"/>
      <c r="D14" s="232"/>
      <c r="E14" s="233" t="s">
        <v>58</v>
      </c>
      <c r="F14" s="249">
        <f>SUM(F11:F13)</f>
        <v>1025000</v>
      </c>
      <c r="G14" s="249">
        <f>SUM(G11:G13)</f>
        <v>0</v>
      </c>
      <c r="H14" s="249">
        <f>SUM(H11:H13)</f>
        <v>0</v>
      </c>
      <c r="I14" s="249"/>
      <c r="J14" s="249">
        <f>SUM(J13:J13)</f>
        <v>0</v>
      </c>
      <c r="K14" s="249">
        <f>SUM(K13:K13)</f>
        <v>0</v>
      </c>
      <c r="L14" s="249">
        <f>SUM(L13:L13)</f>
        <v>0</v>
      </c>
      <c r="M14" s="249"/>
      <c r="N14" s="406"/>
      <c r="O14" s="397">
        <f>+F14+G14</f>
        <v>1025000</v>
      </c>
      <c r="P14" s="398"/>
      <c r="Q14" s="398"/>
      <c r="R14" s="399"/>
      <c r="S14" s="399"/>
    </row>
    <row r="15" spans="1:38" s="16" customFormat="1" ht="22.5" hidden="1" thickBot="1" x14ac:dyDescent="0.25">
      <c r="A15" s="14"/>
      <c r="B15" s="14"/>
      <c r="C15" s="14"/>
      <c r="D15" s="14"/>
      <c r="E15" s="27" t="s">
        <v>59</v>
      </c>
      <c r="F15" s="31"/>
      <c r="G15" s="31"/>
      <c r="H15" s="31"/>
      <c r="I15" s="31"/>
      <c r="J15" s="31"/>
      <c r="K15" s="15"/>
      <c r="L15" s="15"/>
      <c r="M15" s="31"/>
      <c r="N15" s="407"/>
      <c r="O15" s="400"/>
      <c r="P15" s="400"/>
      <c r="Q15" s="400"/>
      <c r="R15" s="400"/>
      <c r="S15" s="400"/>
    </row>
    <row r="16" spans="1:38" s="16" customFormat="1" ht="22.5" hidden="1" thickBot="1" x14ac:dyDescent="0.25">
      <c r="A16" s="261"/>
      <c r="B16" s="261"/>
      <c r="C16" s="261"/>
      <c r="D16" s="261"/>
      <c r="E16" s="586"/>
      <c r="F16" s="587"/>
      <c r="G16" s="588"/>
      <c r="H16" s="588"/>
      <c r="I16" s="589"/>
      <c r="J16" s="294"/>
      <c r="K16" s="295"/>
      <c r="L16" s="295"/>
      <c r="M16" s="589"/>
      <c r="N16" s="590"/>
      <c r="O16" s="400"/>
      <c r="P16" s="400"/>
      <c r="Q16" s="400"/>
      <c r="R16" s="400"/>
      <c r="S16" s="400"/>
    </row>
    <row r="17" spans="1:46" s="16" customFormat="1" ht="22.5" hidden="1" thickBot="1" x14ac:dyDescent="0.25">
      <c r="A17" s="14"/>
      <c r="B17" s="14"/>
      <c r="C17" s="14"/>
      <c r="D17" s="14"/>
      <c r="E17" s="477"/>
      <c r="F17" s="15"/>
      <c r="G17" s="30"/>
      <c r="H17" s="30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46" s="16" customFormat="1" ht="22.5" hidden="1" thickBot="1" x14ac:dyDescent="0.55000000000000004">
      <c r="A18" s="235">
        <f>+A16</f>
        <v>0</v>
      </c>
      <c r="B18" s="235"/>
      <c r="C18" s="235"/>
      <c r="D18" s="235"/>
      <c r="E18" s="236" t="s">
        <v>60</v>
      </c>
      <c r="F18" s="250">
        <f>SUM(F17:F17)</f>
        <v>0</v>
      </c>
      <c r="G18" s="237">
        <f>SUM(G16:G17)</f>
        <v>0</v>
      </c>
      <c r="H18" s="237">
        <f>SUM(H16:H17)</f>
        <v>0</v>
      </c>
      <c r="I18" s="250"/>
      <c r="J18" s="250">
        <f>SUM(J17:J17)</f>
        <v>0</v>
      </c>
      <c r="K18" s="250">
        <f>SUM(K17:K17)</f>
        <v>0</v>
      </c>
      <c r="L18" s="250">
        <f>SUM(L17:L17)</f>
        <v>0</v>
      </c>
      <c r="M18" s="250"/>
      <c r="N18" s="405"/>
      <c r="O18" s="402">
        <f>+F18+G18</f>
        <v>0</v>
      </c>
      <c r="P18" s="398"/>
      <c r="Q18" s="398"/>
      <c r="R18" s="400"/>
      <c r="S18" s="400"/>
    </row>
    <row r="19" spans="1:46" s="480" customFormat="1" ht="22.5" thickBot="1" x14ac:dyDescent="0.55000000000000004">
      <c r="A19" s="238">
        <f>+A14+A18</f>
        <v>2</v>
      </c>
      <c r="B19" s="239"/>
      <c r="C19" s="239"/>
      <c r="D19" s="239"/>
      <c r="E19" s="239" t="s">
        <v>441</v>
      </c>
      <c r="F19" s="251">
        <f>F14+F18</f>
        <v>1025000</v>
      </c>
      <c r="G19" s="289">
        <f>+G14+G18</f>
        <v>0</v>
      </c>
      <c r="H19" s="289">
        <f>+H14+H18</f>
        <v>0</v>
      </c>
      <c r="I19" s="240"/>
      <c r="J19" s="240">
        <f>J14+J18</f>
        <v>0</v>
      </c>
      <c r="K19" s="240">
        <f>K14+K18</f>
        <v>0</v>
      </c>
      <c r="L19" s="240">
        <f>L14+L18</f>
        <v>0</v>
      </c>
      <c r="M19" s="240"/>
      <c r="N19" s="408"/>
      <c r="O19" s="397">
        <f>+O14+O18</f>
        <v>1025000</v>
      </c>
      <c r="P19" s="479"/>
      <c r="Q19" s="479"/>
      <c r="R19" s="399"/>
      <c r="S19" s="399"/>
      <c r="T19" s="12"/>
      <c r="U19" s="12"/>
      <c r="V19" s="12"/>
      <c r="W19" s="12"/>
      <c r="X19" s="12"/>
      <c r="Y19" s="12"/>
      <c r="Z19" s="12"/>
      <c r="AA19" s="12"/>
    </row>
    <row r="20" spans="1:46" s="16" customFormat="1" x14ac:dyDescent="0.2">
      <c r="A20" s="481"/>
      <c r="B20" s="481"/>
      <c r="C20" s="481"/>
      <c r="D20" s="481"/>
      <c r="E20" s="482"/>
      <c r="F20" s="376"/>
      <c r="G20" s="375"/>
      <c r="H20" s="375"/>
      <c r="I20" s="375"/>
      <c r="J20" s="375"/>
      <c r="K20" s="376"/>
      <c r="L20" s="376"/>
      <c r="M20" s="375"/>
      <c r="N20" s="407"/>
      <c r="O20" s="400"/>
      <c r="P20" s="400"/>
      <c r="Q20" s="400"/>
      <c r="R20" s="400"/>
      <c r="S20" s="400"/>
    </row>
    <row r="21" spans="1:46" s="16" customFormat="1" x14ac:dyDescent="0.5">
      <c r="A21" s="481"/>
      <c r="B21" s="481"/>
      <c r="C21" s="481"/>
      <c r="D21" s="481"/>
      <c r="E21" s="482"/>
      <c r="F21" s="252"/>
      <c r="G21" s="375"/>
      <c r="H21" s="375"/>
      <c r="I21" s="375"/>
      <c r="J21" s="375"/>
      <c r="K21" s="376"/>
      <c r="L21" s="376"/>
      <c r="M21" s="375"/>
      <c r="N21" s="407"/>
      <c r="O21" s="400"/>
      <c r="P21" s="400"/>
      <c r="Q21" s="400"/>
      <c r="R21" s="400"/>
      <c r="S21" s="400"/>
    </row>
    <row r="23" spans="1:46" s="77" customFormat="1" x14ac:dyDescent="0.5">
      <c r="A23" s="483"/>
      <c r="B23" s="483"/>
      <c r="C23" s="483"/>
      <c r="D23" s="483"/>
      <c r="F23" s="262"/>
      <c r="G23" s="119"/>
      <c r="H23" s="119"/>
      <c r="I23" s="119"/>
      <c r="J23" s="119"/>
      <c r="K23" s="484"/>
      <c r="L23" s="484"/>
      <c r="M23" s="119"/>
      <c r="N23" s="465"/>
      <c r="O23" s="399"/>
      <c r="P23" s="399"/>
      <c r="Q23" s="399"/>
      <c r="R23" s="399"/>
      <c r="S23" s="399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</row>
    <row r="24" spans="1:46" s="77" customFormat="1" x14ac:dyDescent="0.5">
      <c r="A24" s="483"/>
      <c r="B24" s="483"/>
      <c r="C24" s="483"/>
      <c r="D24" s="483"/>
      <c r="F24" s="262"/>
      <c r="G24" s="119"/>
      <c r="H24" s="119"/>
      <c r="I24" s="119"/>
      <c r="J24" s="119"/>
      <c r="K24" s="484"/>
      <c r="L24" s="484"/>
      <c r="M24" s="119"/>
      <c r="N24" s="465"/>
      <c r="O24" s="399"/>
      <c r="P24" s="399"/>
      <c r="Q24" s="399"/>
      <c r="R24" s="399"/>
      <c r="S24" s="399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77" customFormat="1" x14ac:dyDescent="0.5">
      <c r="A25" s="483"/>
      <c r="B25" s="483"/>
      <c r="C25" s="483"/>
      <c r="D25" s="483"/>
      <c r="F25" s="262"/>
      <c r="G25" s="119"/>
      <c r="H25" s="119"/>
      <c r="I25" s="119"/>
      <c r="J25" s="119"/>
      <c r="K25" s="484"/>
      <c r="L25" s="484"/>
      <c r="M25" s="119"/>
      <c r="N25" s="465"/>
      <c r="O25" s="399"/>
      <c r="P25" s="399"/>
      <c r="Q25" s="399"/>
      <c r="R25" s="399"/>
      <c r="S25" s="399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  <row r="26" spans="1:46" s="77" customFormat="1" x14ac:dyDescent="0.5">
      <c r="A26" s="483"/>
      <c r="B26" s="483"/>
      <c r="C26" s="483"/>
      <c r="D26" s="483"/>
      <c r="F26" s="262"/>
      <c r="G26" s="119"/>
      <c r="H26" s="119"/>
      <c r="I26" s="119"/>
      <c r="J26" s="119"/>
      <c r="K26" s="484"/>
      <c r="L26" s="484"/>
      <c r="M26" s="119"/>
      <c r="N26" s="465"/>
      <c r="O26" s="399"/>
      <c r="P26" s="399"/>
      <c r="Q26" s="399"/>
      <c r="R26" s="399"/>
      <c r="S26" s="399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</sheetData>
  <autoFilter ref="N1:N26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conditionalFormatting sqref="F11:F12">
    <cfRule type="cellIs" dxfId="39" priority="1" stopIfTrue="1" operator="between">
      <formula>2000001</formula>
      <formula>500000000</formula>
    </cfRule>
  </conditionalFormatting>
  <pageMargins left="0.51181102362204722" right="0.51181102362204722" top="0.74803149606299213" bottom="0.74803149606299213" header="0.31496062992125984" footer="0.31496062992125984"/>
  <pageSetup paperSize="9" scale="90" orientation="landscape" blackAndWhite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65"/>
  <sheetViews>
    <sheetView topLeftCell="A40"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140625" style="486" customWidth="1"/>
    <col min="5" max="5" width="43.140625" style="460" customWidth="1"/>
    <col min="6" max="6" width="16" style="487" customWidth="1"/>
    <col min="7" max="7" width="13.42578125" style="488" customWidth="1"/>
    <col min="8" max="8" width="13.42578125" style="488" hidden="1" customWidth="1"/>
    <col min="9" max="9" width="30" style="488" customWidth="1"/>
    <col min="10" max="10" width="0.140625" style="488" hidden="1" customWidth="1"/>
    <col min="11" max="11" width="12.140625" style="464" hidden="1" customWidth="1"/>
    <col min="12" max="12" width="12.5703125" style="464" hidden="1" customWidth="1"/>
    <col min="13" max="13" width="31.85546875" style="488" customWidth="1"/>
    <col min="14" max="14" width="6.140625" style="465" customWidth="1"/>
    <col min="15" max="15" width="19.85546875" style="465" customWidth="1"/>
    <col min="16" max="16" width="16" style="399" bestFit="1" customWidth="1"/>
    <col min="17" max="17" width="12.42578125" style="399" bestFit="1" customWidth="1"/>
    <col min="18" max="18" width="16" style="399" bestFit="1" customWidth="1"/>
    <col min="19" max="19" width="9.140625" style="12"/>
    <col min="20" max="20" width="14.5703125" style="12" bestFit="1" customWidth="1"/>
    <col min="21" max="28" width="9.140625" style="12"/>
    <col min="29" max="16384" width="9.140625" style="460"/>
  </cols>
  <sheetData>
    <row r="1" spans="1:39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O1" s="411"/>
      <c r="R1" s="399" t="s">
        <v>68</v>
      </c>
      <c r="T1" s="12" t="s">
        <v>63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11"/>
      <c r="P2" s="402" t="s">
        <v>69</v>
      </c>
      <c r="Q2" s="399">
        <v>29</v>
      </c>
      <c r="R2" s="397" t="e">
        <f>+F18+F11+#REF!+#REF!+#REF!+#REF!+#REF!+#REF!+#REF!+#REF!+#REF!+F13+F12+F14+F15+F16+F17+F26+F28+F29+F30+F31+#REF!+#REF!+#REF!+#REF!+#REF!+#REF!+#REF!</f>
        <v>#REF!</v>
      </c>
      <c r="S2" s="591">
        <v>3</v>
      </c>
      <c r="T2" s="138">
        <f>+F47+F48+F46</f>
        <v>2706000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11"/>
      <c r="P3" s="400" t="s">
        <v>72</v>
      </c>
      <c r="Q3" s="461">
        <v>8</v>
      </c>
      <c r="R3" s="462" t="e">
        <f>+F19+F22+F23+F24+F25+F27+#REF!+#REF!</f>
        <v>#REF!</v>
      </c>
      <c r="S3" s="592">
        <v>5</v>
      </c>
      <c r="T3" s="524" t="e">
        <f>+#REF!+F49+F50+F51+F52</f>
        <v>#REF!</v>
      </c>
      <c r="U3" s="460"/>
      <c r="V3" s="460"/>
      <c r="W3" s="460"/>
      <c r="X3" s="460"/>
      <c r="Y3" s="460"/>
      <c r="Z3" s="460"/>
      <c r="AA3" s="460"/>
      <c r="AB3" s="460"/>
    </row>
    <row r="4" spans="1:39" ht="18" customHeight="1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P4" s="399" t="s">
        <v>255</v>
      </c>
      <c r="Q4" s="466">
        <v>2</v>
      </c>
      <c r="R4" s="542" t="e">
        <f>+F20+#REF!</f>
        <v>#REF!</v>
      </c>
      <c r="S4" s="12">
        <v>1</v>
      </c>
      <c r="T4" s="138" t="e">
        <f>+#REF!</f>
        <v>#REF!</v>
      </c>
    </row>
    <row r="5" spans="1:39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O5" s="405"/>
      <c r="Q5" s="642" t="s">
        <v>53</v>
      </c>
      <c r="R5" s="642" t="s">
        <v>54</v>
      </c>
    </row>
    <row r="6" spans="1:39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O6" s="405"/>
      <c r="Q6" s="642"/>
      <c r="R6" s="642"/>
    </row>
    <row r="7" spans="1:39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O7" s="405"/>
      <c r="Q7" s="642"/>
      <c r="R7" s="642"/>
    </row>
    <row r="8" spans="1:39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O8" s="405"/>
      <c r="Q8" s="642"/>
      <c r="R8" s="642"/>
    </row>
    <row r="9" spans="1:39" ht="18" customHeight="1" x14ac:dyDescent="0.5">
      <c r="A9" s="10"/>
      <c r="B9" s="10"/>
      <c r="C9" s="10"/>
      <c r="D9" s="10"/>
      <c r="E9" s="29" t="s">
        <v>29</v>
      </c>
      <c r="F9" s="247"/>
      <c r="G9" s="100"/>
      <c r="H9" s="100"/>
      <c r="I9" s="100"/>
      <c r="J9" s="100"/>
      <c r="K9" s="468"/>
      <c r="L9" s="468"/>
      <c r="M9" s="100"/>
    </row>
    <row r="10" spans="1:39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7"/>
      <c r="P10" s="400"/>
      <c r="Q10" s="400"/>
      <c r="R10" s="400"/>
    </row>
    <row r="11" spans="1:39" s="16" customFormat="1" ht="141.75" customHeight="1" x14ac:dyDescent="0.2">
      <c r="A11" s="261">
        <v>1</v>
      </c>
      <c r="B11" s="14" t="s">
        <v>667</v>
      </c>
      <c r="C11" s="554" t="s">
        <v>80</v>
      </c>
      <c r="D11" s="261"/>
      <c r="E11" s="473" t="s">
        <v>443</v>
      </c>
      <c r="F11" s="474">
        <v>810500</v>
      </c>
      <c r="G11" s="31"/>
      <c r="H11" s="31"/>
      <c r="I11" s="597">
        <f>+[24]Sheet1!I11</f>
        <v>0</v>
      </c>
      <c r="J11" s="597"/>
      <c r="K11" s="598"/>
      <c r="L11" s="598"/>
      <c r="M11" s="599" t="str">
        <f>+[24]Sheet1!M11</f>
        <v>  - 1 ธ.ค.58 ผบก.อก.สกบ.ให้ความเห็นชอบ
 - 1 - 14 ธ.ค.58 ประกาศสอบราคา
 - 16 ธ.ค.58 เปิดซองเสนอราคา
 - สามารถผูกพันสัญญาได้ภายใน 25 ธ.ค.58
 </v>
      </c>
      <c r="N11" s="407">
        <v>1</v>
      </c>
      <c r="O11" s="407"/>
      <c r="P11" s="400"/>
      <c r="Q11" s="400"/>
      <c r="R11" s="400"/>
    </row>
    <row r="12" spans="1:39" s="16" customFormat="1" ht="137.25" customHeight="1" x14ac:dyDescent="0.2">
      <c r="A12" s="261">
        <v>2</v>
      </c>
      <c r="B12" s="14" t="s">
        <v>667</v>
      </c>
      <c r="C12" s="554" t="s">
        <v>80</v>
      </c>
      <c r="D12" s="261"/>
      <c r="E12" s="473" t="s">
        <v>445</v>
      </c>
      <c r="F12" s="474">
        <v>1900000</v>
      </c>
      <c r="G12" s="31"/>
      <c r="H12" s="31"/>
      <c r="I12" s="597">
        <f>+[24]Sheet1!I12</f>
        <v>0</v>
      </c>
      <c r="J12" s="597"/>
      <c r="K12" s="598"/>
      <c r="L12" s="598"/>
      <c r="M12" s="599" t="str">
        <f>+[24]Sheet1!M12</f>
        <v xml:space="preserve"> - 25 พ.ย.58 ผบก.อก.สกบ.ให้ความเห็นชอบ
 - 25พ.ย.- 8ธ.ค.58 ประกาศสอบราคา
 - 9 ธ.ค.58 เปิดซองสอบราคา
 - สามารถผูกพันสัญญาได้ภายใน 21 ธ.ค.58</v>
      </c>
      <c r="N12" s="407">
        <v>1</v>
      </c>
      <c r="O12" s="407"/>
      <c r="P12" s="400"/>
      <c r="Q12" s="400"/>
      <c r="R12" s="400"/>
    </row>
    <row r="13" spans="1:39" s="16" customFormat="1" ht="65.25" x14ac:dyDescent="0.2">
      <c r="A13" s="261">
        <v>3</v>
      </c>
      <c r="B13" s="14" t="s">
        <v>668</v>
      </c>
      <c r="C13" s="554" t="s">
        <v>80</v>
      </c>
      <c r="D13" s="261"/>
      <c r="E13" s="473" t="s">
        <v>444</v>
      </c>
      <c r="F13" s="281">
        <v>750000</v>
      </c>
      <c r="G13" s="31"/>
      <c r="H13" s="31"/>
      <c r="I13" s="597">
        <f>+[24]Sheet1!I13</f>
        <v>0</v>
      </c>
      <c r="J13" s="597"/>
      <c r="K13" s="598"/>
      <c r="L13" s="598"/>
      <c r="M13" s="599" t="str">
        <f>+[24]Sheet1!M13</f>
        <v xml:space="preserve"> - 30 พ.ย.58 เสนอขอรับความเห็นชอบ
 - สามารถผูกพันสัญญาได้ภายใน 25 ธ.ค.58</v>
      </c>
      <c r="N13" s="407">
        <v>1</v>
      </c>
      <c r="O13" s="407"/>
      <c r="P13" s="400"/>
      <c r="Q13" s="400"/>
      <c r="R13" s="400"/>
    </row>
    <row r="14" spans="1:39" s="16" customFormat="1" ht="87" x14ac:dyDescent="0.2">
      <c r="A14" s="261">
        <v>4</v>
      </c>
      <c r="B14" s="14" t="s">
        <v>668</v>
      </c>
      <c r="C14" s="554" t="s">
        <v>80</v>
      </c>
      <c r="D14" s="261"/>
      <c r="E14" s="473" t="s">
        <v>446</v>
      </c>
      <c r="F14" s="474">
        <v>2000000</v>
      </c>
      <c r="G14" s="31"/>
      <c r="H14" s="31"/>
      <c r="I14" s="597">
        <f>+[24]Sheet1!I14</f>
        <v>0</v>
      </c>
      <c r="J14" s="597"/>
      <c r="K14" s="598"/>
      <c r="L14" s="598"/>
      <c r="M14" s="599" t="str">
        <f>+[24]Sheet1!M14</f>
        <v xml:space="preserve">  - 30 พ.ย.58 เสนอ ผบก.ยธ. ขอรับความเห็นชอบ 
 - สามารถผูกพันสัญญาได้ภายใน 25 ธ.ค.58</v>
      </c>
      <c r="N14" s="407">
        <v>1</v>
      </c>
      <c r="O14" s="407"/>
      <c r="P14" s="400"/>
      <c r="Q14" s="400"/>
      <c r="R14" s="400"/>
    </row>
    <row r="15" spans="1:39" s="16" customFormat="1" ht="45" x14ac:dyDescent="0.2">
      <c r="A15" s="261">
        <v>5</v>
      </c>
      <c r="B15" s="14" t="s">
        <v>668</v>
      </c>
      <c r="C15" s="554" t="s">
        <v>368</v>
      </c>
      <c r="D15" s="261"/>
      <c r="E15" s="473" t="s">
        <v>447</v>
      </c>
      <c r="F15" s="474">
        <v>73400</v>
      </c>
      <c r="G15" s="31"/>
      <c r="H15" s="31"/>
      <c r="I15" s="597">
        <f>+[24]Sheet1!I15</f>
        <v>0</v>
      </c>
      <c r="J15" s="597"/>
      <c r="K15" s="598"/>
      <c r="L15" s="598"/>
      <c r="M15" s="599" t="str">
        <f>+[24]Sheet1!M15</f>
        <v xml:space="preserve"> - สามารถลงนามใบสั่งซื้อได้ภายใน 25 ธ.ค.58</v>
      </c>
      <c r="N15" s="407">
        <v>1</v>
      </c>
      <c r="O15" s="407"/>
      <c r="P15" s="400"/>
      <c r="Q15" s="400"/>
      <c r="R15" s="400"/>
    </row>
    <row r="16" spans="1:39" s="16" customFormat="1" ht="45" x14ac:dyDescent="0.2">
      <c r="A16" s="261">
        <v>6</v>
      </c>
      <c r="B16" s="14" t="s">
        <v>668</v>
      </c>
      <c r="C16" s="554" t="s">
        <v>368</v>
      </c>
      <c r="D16" s="261"/>
      <c r="E16" s="473" t="s">
        <v>448</v>
      </c>
      <c r="F16" s="474">
        <v>36000</v>
      </c>
      <c r="G16" s="31"/>
      <c r="H16" s="31"/>
      <c r="I16" s="597">
        <f>+[24]Sheet1!I16</f>
        <v>0</v>
      </c>
      <c r="J16" s="597"/>
      <c r="K16" s="598"/>
      <c r="L16" s="598"/>
      <c r="M16" s="599" t="str">
        <f>+[24]Sheet1!M16</f>
        <v xml:space="preserve"> - สามารถลงนามใบสั่งซื้อได้ภายใน 9 ธ.ค.58</v>
      </c>
      <c r="N16" s="407">
        <v>1</v>
      </c>
      <c r="O16" s="407"/>
      <c r="P16" s="400"/>
      <c r="Q16" s="400"/>
      <c r="R16" s="400"/>
    </row>
    <row r="17" spans="1:18" s="16" customFormat="1" ht="65.25" x14ac:dyDescent="0.2">
      <c r="A17" s="261">
        <v>7</v>
      </c>
      <c r="B17" s="14" t="s">
        <v>668</v>
      </c>
      <c r="C17" s="554" t="s">
        <v>368</v>
      </c>
      <c r="D17" s="261"/>
      <c r="E17" s="473" t="s">
        <v>449</v>
      </c>
      <c r="F17" s="281">
        <v>1792000</v>
      </c>
      <c r="G17" s="31"/>
      <c r="H17" s="31"/>
      <c r="I17" s="597">
        <f>+[24]Sheet1!I17</f>
        <v>0</v>
      </c>
      <c r="J17" s="597"/>
      <c r="K17" s="598"/>
      <c r="L17" s="598"/>
      <c r="M17" s="599" t="str">
        <f>+[24]Sheet1!M17</f>
        <v xml:space="preserve"> - สามารถผูกพันสัญญาได้ภายใน  9 ธ.ค.58</v>
      </c>
      <c r="N17" s="407">
        <v>1</v>
      </c>
      <c r="O17" s="407"/>
      <c r="P17" s="400"/>
      <c r="Q17" s="400"/>
      <c r="R17" s="400"/>
    </row>
    <row r="18" spans="1:18" s="16" customFormat="1" ht="165" customHeight="1" x14ac:dyDescent="0.2">
      <c r="A18" s="261">
        <v>8</v>
      </c>
      <c r="B18" s="261" t="s">
        <v>669</v>
      </c>
      <c r="C18" s="593" t="s">
        <v>300</v>
      </c>
      <c r="D18" s="261"/>
      <c r="E18" s="473" t="s">
        <v>442</v>
      </c>
      <c r="F18" s="474">
        <v>1294000</v>
      </c>
      <c r="G18" s="31"/>
      <c r="H18" s="31"/>
      <c r="I18" s="600" t="s">
        <v>70</v>
      </c>
      <c r="J18" s="597"/>
      <c r="K18" s="598"/>
      <c r="L18" s="598"/>
      <c r="M18" s="599" t="str">
        <f>+[24]Sheet1!M18</f>
        <v xml:space="preserve"> -  24 พ.ย. 58 ผบก.สพ. เห็นชอบสอบราคา
 - 25 พ.ย. - 4 ธ.ค.58  ยื่นซอง
 - 9 ธ.ค.58 เปิดซองสอบราคา
 - 15 ธ.ค.58  คกก.รายงาน
 - 18 ธ.ค.58  ขออนุมัติซื้อ
 - 21 - 28 ธ.ค.58  ลงนามสัญญา </v>
      </c>
      <c r="N18" s="407">
        <v>1</v>
      </c>
      <c r="O18" s="407"/>
      <c r="P18" s="400"/>
      <c r="Q18" s="400"/>
      <c r="R18" s="400"/>
    </row>
    <row r="19" spans="1:18" s="16" customFormat="1" ht="65.25" x14ac:dyDescent="0.2">
      <c r="A19" s="425">
        <v>9</v>
      </c>
      <c r="B19" s="424" t="s">
        <v>669</v>
      </c>
      <c r="C19" s="557" t="s">
        <v>107</v>
      </c>
      <c r="D19" s="425" t="s">
        <v>29</v>
      </c>
      <c r="E19" s="541" t="s">
        <v>450</v>
      </c>
      <c r="F19" s="526">
        <v>110740000</v>
      </c>
      <c r="G19" s="423"/>
      <c r="H19" s="423"/>
      <c r="I19" s="603">
        <f>+[24]Sheet1!I19</f>
        <v>0</v>
      </c>
      <c r="J19" s="603"/>
      <c r="K19" s="604"/>
      <c r="L19" s="604"/>
      <c r="M19" s="602" t="str">
        <f>+[24]Sheet1!M19</f>
        <v xml:space="preserve"> - รอดำเนินการจัดหารวมกับรายการโครงการอาวุธปืน 55,000 กระบอก ที่นำเข้า ครม.</v>
      </c>
      <c r="N19" s="407">
        <v>2</v>
      </c>
      <c r="O19" s="407"/>
      <c r="P19" s="400"/>
      <c r="Q19" s="400"/>
      <c r="R19" s="400"/>
    </row>
    <row r="20" spans="1:18" s="16" customFormat="1" ht="186" customHeight="1" x14ac:dyDescent="0.2">
      <c r="A20" s="560">
        <v>10</v>
      </c>
      <c r="B20" s="560" t="s">
        <v>451</v>
      </c>
      <c r="C20" s="560" t="s">
        <v>221</v>
      </c>
      <c r="D20" s="560" t="s">
        <v>17</v>
      </c>
      <c r="E20" s="594" t="s">
        <v>452</v>
      </c>
      <c r="F20" s="595">
        <v>560000000</v>
      </c>
      <c r="G20" s="596"/>
      <c r="H20" s="596"/>
      <c r="I20" s="596">
        <f>+[24]Sheet1!I20</f>
        <v>0</v>
      </c>
      <c r="J20" s="596"/>
      <c r="K20" s="596"/>
      <c r="L20" s="596"/>
      <c r="M20" s="565" t="str">
        <f>+[24]Sheet1!M20</f>
        <v>งบผูกพัน ปี 58
- 27 พ.ย.58 ผบ.ตร.อนุมัติให้ยกเลิกการจัดซื้อโครงการจัดหาอากาศยานช่วยเหลือทางการแพทย์เพื่อเพิ่มประสิทธิภาพด้านความปลอดภัยนักท่องเที่ยว ครั้งที่ 1 และให้ความเห็นชอบดำเนินการจัดซื้อโดยวิธีพิเศษ อยู่ระหว่างประธาน คกก.นัดประชุมพิจารณาผล</v>
      </c>
      <c r="N20" s="407">
        <v>3</v>
      </c>
      <c r="O20" s="400" t="s">
        <v>453</v>
      </c>
      <c r="P20" s="400"/>
      <c r="Q20" s="400"/>
      <c r="R20" s="400"/>
    </row>
    <row r="21" spans="1:18" s="16" customFormat="1" ht="65.25" x14ac:dyDescent="0.2">
      <c r="A21" s="14"/>
      <c r="B21" s="14" t="s">
        <v>669</v>
      </c>
      <c r="C21" s="472" t="s">
        <v>76</v>
      </c>
      <c r="D21" s="261" t="s">
        <v>6</v>
      </c>
      <c r="E21" s="473" t="s">
        <v>455</v>
      </c>
      <c r="F21" s="474"/>
      <c r="G21" s="31"/>
      <c r="H21" s="31"/>
      <c r="I21" s="597">
        <f>+[24]Sheet1!I21</f>
        <v>0</v>
      </c>
      <c r="J21" s="597"/>
      <c r="K21" s="598"/>
      <c r="L21" s="598"/>
      <c r="M21" s="599">
        <f>+[24]Sheet1!M21</f>
        <v>0</v>
      </c>
      <c r="N21" s="407"/>
      <c r="O21" s="401" t="s">
        <v>456</v>
      </c>
      <c r="P21" s="401"/>
      <c r="Q21" s="400"/>
      <c r="R21" s="400"/>
    </row>
    <row r="22" spans="1:18" s="284" customFormat="1" ht="158.25" customHeight="1" x14ac:dyDescent="0.2">
      <c r="A22" s="425">
        <v>11</v>
      </c>
      <c r="B22" s="425" t="s">
        <v>669</v>
      </c>
      <c r="C22" s="469" t="s">
        <v>76</v>
      </c>
      <c r="D22" s="425" t="s">
        <v>6</v>
      </c>
      <c r="E22" s="470" t="s">
        <v>457</v>
      </c>
      <c r="F22" s="471">
        <v>3325000</v>
      </c>
      <c r="G22" s="426"/>
      <c r="H22" s="426"/>
      <c r="I22" s="603">
        <f>+[24]Sheet1!I22</f>
        <v>0</v>
      </c>
      <c r="J22" s="603"/>
      <c r="K22" s="604"/>
      <c r="L22" s="604"/>
      <c r="M22" s="602" t="str">
        <f>+[24]Sheet1!M22</f>
        <v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v>
      </c>
      <c r="N22" s="410">
        <v>2</v>
      </c>
      <c r="O22" s="401" t="s">
        <v>458</v>
      </c>
      <c r="P22" s="401"/>
      <c r="Q22" s="401"/>
      <c r="R22" s="401"/>
    </row>
    <row r="23" spans="1:18" s="284" customFormat="1" ht="261" x14ac:dyDescent="0.2">
      <c r="A23" s="425">
        <v>12</v>
      </c>
      <c r="B23" s="425" t="s">
        <v>669</v>
      </c>
      <c r="C23" s="469" t="s">
        <v>76</v>
      </c>
      <c r="D23" s="425" t="s">
        <v>6</v>
      </c>
      <c r="E23" s="470" t="s">
        <v>459</v>
      </c>
      <c r="F23" s="471">
        <v>12000000</v>
      </c>
      <c r="G23" s="426"/>
      <c r="H23" s="426"/>
      <c r="I23" s="603">
        <f>+[24]Sheet1!I23</f>
        <v>0</v>
      </c>
      <c r="J23" s="603"/>
      <c r="K23" s="604"/>
      <c r="L23" s="604"/>
      <c r="M23" s="605" t="str">
        <f>+[24]Sheet1!M23</f>
        <v xml:space="preserve"> - 9 พ.ย. 58  เสนอ ผบช.สกบ. ให้ความเห็นชอบจัดซื้อโดยวิธีพิเศษ   รอง ผบช.สกบ.(2)  ให้ชี้แจงรายละเอียดเพิ่มเติม
 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- 21 - 29  ธ.ค. 58  ลงนามสัญญา</v>
      </c>
      <c r="N23" s="410">
        <v>2</v>
      </c>
      <c r="O23" s="401" t="s">
        <v>458</v>
      </c>
      <c r="P23" s="401"/>
      <c r="Q23" s="401"/>
      <c r="R23" s="401"/>
    </row>
    <row r="24" spans="1:18" s="284" customFormat="1" ht="267" customHeight="1" x14ac:dyDescent="0.2">
      <c r="A24" s="425">
        <v>13</v>
      </c>
      <c r="B24" s="425" t="s">
        <v>669</v>
      </c>
      <c r="C24" s="469" t="s">
        <v>76</v>
      </c>
      <c r="D24" s="425" t="s">
        <v>6</v>
      </c>
      <c r="E24" s="470" t="s">
        <v>460</v>
      </c>
      <c r="F24" s="471">
        <v>8500000</v>
      </c>
      <c r="G24" s="426"/>
      <c r="H24" s="426"/>
      <c r="I24" s="603">
        <f>+[24]Sheet1!I24</f>
        <v>0</v>
      </c>
      <c r="J24" s="603"/>
      <c r="K24" s="604"/>
      <c r="L24" s="604"/>
      <c r="M24" s="605" t="str">
        <f>+[24]Sheet1!M24</f>
        <v xml:space="preserve">  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เสนอขออนุมัติซื้อ
 - 18  ธ.ค. 58  ผบช.สกบ. อนุมัติซื้อ
  - 19 -  30 ธ.ค. 58  ลงนามสัญญา</v>
      </c>
      <c r="N24" s="410">
        <v>2</v>
      </c>
      <c r="O24" s="401" t="s">
        <v>458</v>
      </c>
      <c r="P24" s="401"/>
      <c r="Q24" s="401"/>
      <c r="R24" s="401"/>
    </row>
    <row r="25" spans="1:18" s="284" customFormat="1" ht="278.25" customHeight="1" x14ac:dyDescent="0.2">
      <c r="A25" s="425">
        <v>14</v>
      </c>
      <c r="B25" s="425" t="s">
        <v>669</v>
      </c>
      <c r="C25" s="469" t="s">
        <v>76</v>
      </c>
      <c r="D25" s="425" t="s">
        <v>6</v>
      </c>
      <c r="E25" s="470" t="s">
        <v>461</v>
      </c>
      <c r="F25" s="471">
        <v>11000000</v>
      </c>
      <c r="G25" s="426"/>
      <c r="H25" s="426"/>
      <c r="I25" s="603">
        <f>+[24]Sheet1!I25</f>
        <v>0</v>
      </c>
      <c r="J25" s="603"/>
      <c r="K25" s="604"/>
      <c r="L25" s="604"/>
      <c r="M25" s="605" t="str">
        <f>+[24]Sheet1!M25</f>
        <v>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 - 21 -  30  ธ.ค. 58  ลงนามสัญญา</v>
      </c>
      <c r="N25" s="410">
        <v>2</v>
      </c>
      <c r="O25" s="401" t="s">
        <v>458</v>
      </c>
      <c r="P25" s="401"/>
      <c r="Q25" s="401"/>
      <c r="R25" s="401"/>
    </row>
    <row r="26" spans="1:18" s="284" customFormat="1" ht="174" x14ac:dyDescent="0.2">
      <c r="A26" s="261">
        <v>15</v>
      </c>
      <c r="B26" s="261" t="s">
        <v>669</v>
      </c>
      <c r="C26" s="472" t="s">
        <v>76</v>
      </c>
      <c r="D26" s="261" t="s">
        <v>6</v>
      </c>
      <c r="E26" s="473" t="s">
        <v>462</v>
      </c>
      <c r="F26" s="474">
        <v>1810000</v>
      </c>
      <c r="G26" s="281"/>
      <c r="H26" s="281"/>
      <c r="I26" s="597">
        <f>+[24]Sheet1!I26</f>
        <v>0</v>
      </c>
      <c r="J26" s="597"/>
      <c r="K26" s="598"/>
      <c r="L26" s="598"/>
      <c r="M26" s="599" t="str">
        <f>+[24]Sheet1!M26</f>
        <v xml:space="preserve">  - 6 พ.ย. 58  ผบก.สพ.  เป็นชอบจัดซื้อโดยวิธีพิเศษ
  - 11 พ.ย. 58  แจ้ง คกก. ดำเนินการ
 - 19 พ.ย. 58 คกก.  รายงานผลการดำเนินงาน
 - 26  พ.ย.58   เสนอขออนุมัติซื้อ
 - 28 พย. - 9 ธ.ค. 58  ลงนามสัญญา
</v>
      </c>
      <c r="N26" s="410">
        <v>1</v>
      </c>
      <c r="O26" s="401" t="s">
        <v>458</v>
      </c>
      <c r="P26" s="401"/>
      <c r="Q26" s="401"/>
      <c r="R26" s="401"/>
    </row>
    <row r="27" spans="1:18" s="284" customFormat="1" ht="130.5" x14ac:dyDescent="0.2">
      <c r="A27" s="425">
        <v>16</v>
      </c>
      <c r="B27" s="425" t="s">
        <v>669</v>
      </c>
      <c r="C27" s="469" t="s">
        <v>76</v>
      </c>
      <c r="D27" s="425" t="s">
        <v>6</v>
      </c>
      <c r="E27" s="470" t="s">
        <v>463</v>
      </c>
      <c r="F27" s="471">
        <v>2375000</v>
      </c>
      <c r="G27" s="426"/>
      <c r="H27" s="281"/>
      <c r="I27" s="603">
        <f>+[24]Sheet1!I27</f>
        <v>0</v>
      </c>
      <c r="J27" s="603"/>
      <c r="K27" s="604"/>
      <c r="L27" s="604"/>
      <c r="M27" s="602" t="str">
        <f>+[24]Sheet1!M27</f>
        <v xml:space="preserve">  - 16 พ.ย.58  ผบก.สพ. เห็นชอบให้จัดซื้อโดยวิธีพิเศษ
 - 19 พ.ย.58  แจ้ง คกก.จัดซื้อ ฯ ดำเนินการตามระเบียบฯ
- 30 พ.ย. 58  ขออนุมัติซื้อ
- 3  -  16  ธ.ค. 58  ลงนามสัญญา</v>
      </c>
      <c r="N27" s="410">
        <v>2</v>
      </c>
      <c r="O27" s="401" t="s">
        <v>458</v>
      </c>
      <c r="P27" s="401"/>
      <c r="Q27" s="401"/>
      <c r="R27" s="401"/>
    </row>
    <row r="28" spans="1:18" s="284" customFormat="1" ht="185.25" customHeight="1" x14ac:dyDescent="0.2">
      <c r="A28" s="261">
        <v>17</v>
      </c>
      <c r="B28" s="261" t="s">
        <v>669</v>
      </c>
      <c r="C28" s="472" t="s">
        <v>98</v>
      </c>
      <c r="D28" s="261" t="s">
        <v>8</v>
      </c>
      <c r="E28" s="473" t="s">
        <v>464</v>
      </c>
      <c r="F28" s="281">
        <v>68000</v>
      </c>
      <c r="G28" s="281"/>
      <c r="H28" s="281"/>
      <c r="I28" s="597">
        <f>+[24]Sheet1!I28</f>
        <v>0</v>
      </c>
      <c r="J28" s="597"/>
      <c r="K28" s="598"/>
      <c r="L28" s="598"/>
      <c r="M28" s="599" t="str">
        <f>+[24]Sheet1!M28</f>
        <v xml:space="preserve">   - 26 พ.ย. 58  ผบก.สพ. เห็นชอบซื้อโดยตกลงราคา
- 27 ธ.ค.-16 ธ.ค.58    ให้ผู้ขายเสนอราคา
- 17 ธ.ค.58 ตรวจเอกสารและเงื่อนไขของผู้เสนอราคา
- 18 ธ.ค.58 ขออนุมัติซื้อ
- 21 - 30 ธ.ค.58 ลงนามสัญญา</v>
      </c>
      <c r="N28" s="410">
        <v>1</v>
      </c>
      <c r="O28" s="401" t="s">
        <v>465</v>
      </c>
      <c r="P28" s="401"/>
      <c r="Q28" s="401"/>
      <c r="R28" s="401"/>
    </row>
    <row r="29" spans="1:18" s="284" customFormat="1" ht="190.5" customHeight="1" x14ac:dyDescent="0.2">
      <c r="A29" s="261">
        <v>18</v>
      </c>
      <c r="B29" s="261" t="s">
        <v>669</v>
      </c>
      <c r="C29" s="472" t="s">
        <v>98</v>
      </c>
      <c r="D29" s="261" t="s">
        <v>8</v>
      </c>
      <c r="E29" s="473" t="s">
        <v>466</v>
      </c>
      <c r="F29" s="281">
        <v>720000</v>
      </c>
      <c r="G29" s="281"/>
      <c r="H29" s="281"/>
      <c r="I29" s="597">
        <f>+[24]Sheet1!I29</f>
        <v>0</v>
      </c>
      <c r="J29" s="597"/>
      <c r="K29" s="598"/>
      <c r="L29" s="598"/>
      <c r="M29" s="599" t="str">
        <f>+[24]Sheet1!M29</f>
        <v xml:space="preserve">  - 26 พ.ย. 58  เสนอขอรับเห็นชอบซื้อโดยวิธีพิเศษ
  - 26 พ.ย.58  แจ้ง คกก.
 - 8 ธ.ค. 58  คกก.รายงานผลการจัดซื้อ
 - 9  ธ.ค. 58  ขออนุมัติซื้อ
 - 14 - 22  ธ.ค. 58 ลงนามสัญญา</v>
      </c>
      <c r="N29" s="410">
        <v>1</v>
      </c>
      <c r="O29" s="401" t="s">
        <v>465</v>
      </c>
      <c r="P29" s="401"/>
      <c r="Q29" s="401"/>
      <c r="R29" s="401"/>
    </row>
    <row r="30" spans="1:18" s="284" customFormat="1" ht="174" x14ac:dyDescent="0.2">
      <c r="A30" s="261">
        <v>19</v>
      </c>
      <c r="B30" s="261" t="s">
        <v>669</v>
      </c>
      <c r="C30" s="472" t="s">
        <v>98</v>
      </c>
      <c r="D30" s="261" t="s">
        <v>8</v>
      </c>
      <c r="E30" s="473" t="s">
        <v>467</v>
      </c>
      <c r="F30" s="281">
        <v>478500</v>
      </c>
      <c r="G30" s="281"/>
      <c r="H30" s="281"/>
      <c r="I30" s="597">
        <f>+[24]Sheet1!I30</f>
        <v>0</v>
      </c>
      <c r="J30" s="597"/>
      <c r="K30" s="598"/>
      <c r="L30" s="598"/>
      <c r="M30" s="599" t="str">
        <f>+[24]Sheet1!M30</f>
        <v xml:space="preserve">   - 25 พ.ย. 58  ผบก.สพ. เห็นชอบซื้อโดยตกลงราคา
 -  26 พ.ย.- 15 ธ.ค.58   ให้ผู้ขายเสนอราคา
 -  16 ธ.ค.58   ตรวจเอกสารและเงื่อนไขของผู้เสนอราคา
  - 17 ธ.ค.58 ขออนุมัติซื้อ
  - 18 - 30 ธ.ค. 58 ลงนามสัญญา</v>
      </c>
      <c r="N30" s="410">
        <v>1</v>
      </c>
      <c r="O30" s="401" t="s">
        <v>465</v>
      </c>
      <c r="P30" s="401"/>
      <c r="Q30" s="401"/>
      <c r="R30" s="401"/>
    </row>
    <row r="31" spans="1:18" s="284" customFormat="1" ht="202.5" customHeight="1" x14ac:dyDescent="0.2">
      <c r="A31" s="261">
        <v>20</v>
      </c>
      <c r="B31" s="261" t="s">
        <v>669</v>
      </c>
      <c r="C31" s="472" t="s">
        <v>98</v>
      </c>
      <c r="D31" s="261" t="s">
        <v>8</v>
      </c>
      <c r="E31" s="473" t="s">
        <v>468</v>
      </c>
      <c r="F31" s="281">
        <v>300000</v>
      </c>
      <c r="G31" s="281"/>
      <c r="H31" s="281"/>
      <c r="I31" s="597">
        <f>+[24]Sheet1!I31</f>
        <v>0</v>
      </c>
      <c r="J31" s="597"/>
      <c r="K31" s="598"/>
      <c r="L31" s="598"/>
      <c r="M31" s="599" t="str">
        <f>+[24]Sheet1!M31</f>
        <v>- 26 พ.ย. 58  ผบก.สพ. เห็นชอบซื้อโดยตกลงราคา
- 27 พ.ย. - 16 ธ.ค.58 ให้ผู้ขายเสนอราคา
- 17  ธ.ค.58 ตรวจเอกสารและเงื่อนไขของผู้เสนอราคา
- 18 ธ.ค.58   ขออนุมัติซื้อ
- 21 - 30  ธ.ค.58    ลงนามสัญญา </v>
      </c>
      <c r="N31" s="410">
        <v>1</v>
      </c>
      <c r="O31" s="401" t="s">
        <v>465</v>
      </c>
      <c r="P31" s="401"/>
      <c r="Q31" s="401"/>
      <c r="R31" s="401"/>
    </row>
    <row r="32" spans="1:18" s="284" customFormat="1" ht="202.5" customHeight="1" x14ac:dyDescent="0.2">
      <c r="A32" s="261">
        <v>21</v>
      </c>
      <c r="B32" s="261" t="s">
        <v>669</v>
      </c>
      <c r="C32" s="472" t="s">
        <v>98</v>
      </c>
      <c r="D32" s="261" t="s">
        <v>8</v>
      </c>
      <c r="E32" s="473" t="s">
        <v>469</v>
      </c>
      <c r="F32" s="281">
        <v>150000</v>
      </c>
      <c r="G32" s="281"/>
      <c r="H32" s="281"/>
      <c r="I32" s="597">
        <f>+[24]Sheet1!I32</f>
        <v>0</v>
      </c>
      <c r="J32" s="597"/>
      <c r="K32" s="598"/>
      <c r="L32" s="598"/>
      <c r="M32" s="599" t="str">
        <f>+[24]Sheet1!M32</f>
        <v>- 26 พ.ย. 58  ผบก.สพ. เห็นชอบซื้อโดยตกลงราคา
- 26 พ.ย. - 16 ธ.ค.58  ให้ผู้ขายเสนอราคา
-  17  ธ.ค.58 ตรวจเอกสารและเงื่อนไขของผู้เสนอราคา
- 18 ธ.ค.58 ขออนุมัติซื้อ
- 21 - 30  ธ.ค.58 ลงนามสัญญา</v>
      </c>
      <c r="N32" s="410"/>
      <c r="O32" s="401"/>
      <c r="P32" s="401"/>
      <c r="Q32" s="401"/>
      <c r="R32" s="401"/>
    </row>
    <row r="33" spans="1:18" s="284" customFormat="1" ht="202.5" customHeight="1" x14ac:dyDescent="0.2">
      <c r="A33" s="425">
        <v>22</v>
      </c>
      <c r="B33" s="425" t="s">
        <v>669</v>
      </c>
      <c r="C33" s="469" t="s">
        <v>98</v>
      </c>
      <c r="D33" s="425" t="s">
        <v>8</v>
      </c>
      <c r="E33" s="470" t="s">
        <v>470</v>
      </c>
      <c r="F33" s="426">
        <v>2160000</v>
      </c>
      <c r="G33" s="426"/>
      <c r="H33" s="426"/>
      <c r="I33" s="603">
        <f>+[24]Sheet1!I33</f>
        <v>0</v>
      </c>
      <c r="J33" s="603"/>
      <c r="K33" s="604"/>
      <c r="L33" s="604"/>
      <c r="M33" s="602" t="str">
        <f>+[24]Sheet1!M33</f>
        <v>- 24 พ.ย. 58  เสนอขอรับเห็นชอบซื้อโดยวิธีพิเศษ
- 26 พ.ย.58  แจ้ง คกก.
- 9 ธ.ค. 58  คกก.รายงานผล
- 11  ธ.ค. 58 ขออนุมัติซื้อ
- 14 - 22  ธ.ค. 58  ลงนามสัญญา</v>
      </c>
      <c r="N33" s="410"/>
      <c r="O33" s="401"/>
      <c r="P33" s="401"/>
      <c r="Q33" s="401"/>
      <c r="R33" s="401"/>
    </row>
    <row r="34" spans="1:18" s="284" customFormat="1" ht="202.5" customHeight="1" x14ac:dyDescent="0.2">
      <c r="A34" s="261">
        <v>23</v>
      </c>
      <c r="B34" s="261" t="s">
        <v>669</v>
      </c>
      <c r="C34" s="472" t="s">
        <v>98</v>
      </c>
      <c r="D34" s="261" t="s">
        <v>8</v>
      </c>
      <c r="E34" s="473" t="s">
        <v>666</v>
      </c>
      <c r="F34" s="281">
        <v>90000</v>
      </c>
      <c r="G34" s="281"/>
      <c r="H34" s="281"/>
      <c r="I34" s="597">
        <f>+[24]Sheet1!I34</f>
        <v>0</v>
      </c>
      <c r="J34" s="597"/>
      <c r="K34" s="598"/>
      <c r="L34" s="598"/>
      <c r="M34" s="599" t="str">
        <f>+[24]Sheet1!M34</f>
        <v>- 26 พ.ย. 58  เสนอขอรับเห็นชอบซื้อโดยตกลงราคา
- 27 พ.ย.-16 ธ.ค.58 ให้ผู้ขายเสนอราคา
- 17 ธ.ค.58  ตรวจเอกสารและเงื่อนไขของผู้เสนอราคา
- 18 ธ.ค.58  ขออนุมัติซื้อ
- 21 - 30 ธ.ค.58 ลงนามสัญญา</v>
      </c>
      <c r="N34" s="410"/>
      <c r="O34" s="401"/>
      <c r="P34" s="401"/>
      <c r="Q34" s="401"/>
      <c r="R34" s="401"/>
    </row>
    <row r="35" spans="1:18" s="284" customFormat="1" ht="202.5" customHeight="1" x14ac:dyDescent="0.2">
      <c r="A35" s="261">
        <v>24</v>
      </c>
      <c r="B35" s="261" t="s">
        <v>669</v>
      </c>
      <c r="C35" s="472" t="s">
        <v>98</v>
      </c>
      <c r="D35" s="261" t="s">
        <v>8</v>
      </c>
      <c r="E35" s="473" t="s">
        <v>471</v>
      </c>
      <c r="F35" s="281">
        <v>240000</v>
      </c>
      <c r="G35" s="281"/>
      <c r="H35" s="281"/>
      <c r="I35" s="597">
        <f>+[24]Sheet1!I35</f>
        <v>0</v>
      </c>
      <c r="J35" s="597"/>
      <c r="K35" s="598"/>
      <c r="L35" s="598"/>
      <c r="M35" s="599" t="str">
        <f>+[24]Sheet1!M35</f>
        <v>- 24 พ.ย. 58  เสนอขอรับเห็นชอบซื้อโดยตกลงราคา
- 25 พ.ย.-14 ธ.ค.58      ให้ผู้ขายเสนอราคา
- 15 ธ.ค.58  ตรวจเอกสารและเงื่อนไขของผู้เสนอราคา
- 17 ธ.ค.58 ขออนุมัติซื้อ
- 21 - 30 ธ.ค.58      ลงนามสัญญา
  </v>
      </c>
      <c r="N35" s="410"/>
      <c r="O35" s="401"/>
      <c r="P35" s="401"/>
      <c r="Q35" s="401"/>
      <c r="R35" s="401"/>
    </row>
    <row r="36" spans="1:18" s="284" customFormat="1" ht="202.5" customHeight="1" x14ac:dyDescent="0.2">
      <c r="A36" s="261">
        <v>25</v>
      </c>
      <c r="B36" s="261" t="s">
        <v>669</v>
      </c>
      <c r="C36" s="472" t="s">
        <v>98</v>
      </c>
      <c r="D36" s="261" t="s">
        <v>8</v>
      </c>
      <c r="E36" s="473" t="s">
        <v>472</v>
      </c>
      <c r="F36" s="281">
        <v>340000</v>
      </c>
      <c r="G36" s="281"/>
      <c r="H36" s="281"/>
      <c r="I36" s="597">
        <f>+[24]Sheet1!I36</f>
        <v>0</v>
      </c>
      <c r="J36" s="597"/>
      <c r="K36" s="598"/>
      <c r="L36" s="598"/>
      <c r="M36" s="599" t="str">
        <f>+[24]Sheet1!M36</f>
        <v>- 24 พ.ย. 58  เสนอขอรับเห็นชอบซื้อโดยตกลงราคา
- 25 พ.ย.-14 ธ.ค.58 ให้ผู้ขายเสนอราคา
- 15 ธ.ค.58  ตรวจเอกสารและเงื่อนไขของผู้เสนอราคา
- 17 ธ.ค.58 ขออนุมัติซื้อ
- 18 - 30 ธ.ค.58  ลงนามสัญญา</v>
      </c>
      <c r="N36" s="410"/>
      <c r="O36" s="401"/>
      <c r="P36" s="401"/>
      <c r="Q36" s="401"/>
      <c r="R36" s="401"/>
    </row>
    <row r="37" spans="1:18" s="284" customFormat="1" ht="202.5" customHeight="1" x14ac:dyDescent="0.2">
      <c r="A37" s="261">
        <v>26</v>
      </c>
      <c r="B37" s="261" t="s">
        <v>669</v>
      </c>
      <c r="C37" s="472" t="s">
        <v>98</v>
      </c>
      <c r="D37" s="261" t="s">
        <v>8</v>
      </c>
      <c r="E37" s="473" t="s">
        <v>473</v>
      </c>
      <c r="F37" s="281">
        <v>142500</v>
      </c>
      <c r="G37" s="281"/>
      <c r="H37" s="281"/>
      <c r="I37" s="597">
        <f>+[24]Sheet1!I37</f>
        <v>0</v>
      </c>
      <c r="J37" s="597"/>
      <c r="K37" s="598"/>
      <c r="L37" s="598"/>
      <c r="M37" s="599" t="str">
        <f>+[24]Sheet1!M37</f>
        <v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ลงนามสัญญา</v>
      </c>
      <c r="N37" s="410"/>
      <c r="O37" s="401"/>
      <c r="P37" s="401"/>
      <c r="Q37" s="401"/>
      <c r="R37" s="401"/>
    </row>
    <row r="38" spans="1:18" s="284" customFormat="1" ht="202.5" customHeight="1" x14ac:dyDescent="0.2">
      <c r="A38" s="261">
        <v>27</v>
      </c>
      <c r="B38" s="261" t="s">
        <v>669</v>
      </c>
      <c r="C38" s="472" t="s">
        <v>98</v>
      </c>
      <c r="D38" s="261" t="s">
        <v>8</v>
      </c>
      <c r="E38" s="473" t="s">
        <v>474</v>
      </c>
      <c r="F38" s="281">
        <v>147000</v>
      </c>
      <c r="G38" s="281"/>
      <c r="H38" s="281"/>
      <c r="I38" s="597">
        <f>+[24]Sheet1!I38</f>
        <v>0</v>
      </c>
      <c r="J38" s="597"/>
      <c r="K38" s="598"/>
      <c r="L38" s="598"/>
      <c r="M38" s="599" t="str">
        <f>+[24]Sheet1!M38</f>
        <v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 ลงนามสัญญา</v>
      </c>
      <c r="N38" s="410"/>
      <c r="O38" s="401"/>
      <c r="P38" s="401"/>
      <c r="Q38" s="401"/>
      <c r="R38" s="401"/>
    </row>
    <row r="39" spans="1:18" s="284" customFormat="1" ht="167.25" customHeight="1" x14ac:dyDescent="0.2">
      <c r="A39" s="261">
        <v>28</v>
      </c>
      <c r="B39" s="261" t="s">
        <v>669</v>
      </c>
      <c r="C39" s="554" t="s">
        <v>475</v>
      </c>
      <c r="D39" s="261" t="s">
        <v>17</v>
      </c>
      <c r="E39" s="555" t="s">
        <v>476</v>
      </c>
      <c r="F39" s="534">
        <v>1000000</v>
      </c>
      <c r="G39" s="281"/>
      <c r="H39" s="281"/>
      <c r="I39" s="597">
        <f>+[24]Sheet1!I39</f>
        <v>0</v>
      </c>
      <c r="J39" s="597"/>
      <c r="K39" s="598"/>
      <c r="L39" s="598"/>
      <c r="M39" s="599" t="str">
        <f>+[24]Sheet1!M39</f>
        <v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v>
      </c>
      <c r="N39" s="410"/>
      <c r="O39" s="401"/>
      <c r="P39" s="401"/>
      <c r="Q39" s="401"/>
      <c r="R39" s="401"/>
    </row>
    <row r="40" spans="1:18" s="284" customFormat="1" ht="124.5" customHeight="1" x14ac:dyDescent="0.2">
      <c r="A40" s="425">
        <v>29</v>
      </c>
      <c r="B40" s="425"/>
      <c r="C40" s="556" t="s">
        <v>437</v>
      </c>
      <c r="D40" s="425" t="s">
        <v>28</v>
      </c>
      <c r="E40" s="541" t="s">
        <v>438</v>
      </c>
      <c r="F40" s="526">
        <v>58600000</v>
      </c>
      <c r="G40" s="426"/>
      <c r="H40" s="426"/>
      <c r="I40" s="605" t="str">
        <f>+[24]Sheet1!$I$40</f>
        <v xml:space="preserve">    อยู่ระหว่างดำเนินการขออนุมัติ ตร.  ให้ สกบ. เป็นหน่วยจัดหาและแจกจ่าย</v>
      </c>
      <c r="J40" s="602"/>
      <c r="K40" s="602"/>
      <c r="L40" s="602"/>
      <c r="M40" s="605" t="str">
        <f>+[24]Sheet1!$M$40</f>
        <v xml:space="preserve"> - ตร. อนุมัติ ลง 10 พ.ย.58 ให้ สกบ.เป็นหน่วยจัดหาและแจกจ่าย                           - สยศ.ตร. โอนงบประมาณให้ สกบ. เมื่อ 16 พ.ย.58   และมีหนังสือแจ้ง สกบ.ทราบ เมื่อ 19 พ.ย.58</v>
      </c>
      <c r="N40" s="410"/>
      <c r="O40" s="401"/>
      <c r="P40" s="401"/>
      <c r="Q40" s="401"/>
      <c r="R40" s="401"/>
    </row>
    <row r="41" spans="1:18" s="284" customFormat="1" ht="148.5" customHeight="1" x14ac:dyDescent="0.2">
      <c r="A41" s="428">
        <v>30</v>
      </c>
      <c r="B41" s="601"/>
      <c r="C41" s="601" t="s">
        <v>139</v>
      </c>
      <c r="D41" s="601" t="s">
        <v>13</v>
      </c>
      <c r="E41" s="601" t="s">
        <v>156</v>
      </c>
      <c r="F41" s="471">
        <v>2390000</v>
      </c>
      <c r="G41" s="471"/>
      <c r="H41" s="281"/>
      <c r="I41" s="602" t="str">
        <f>+[24]Sheet1!$I$41</f>
        <v> 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</v>
      </c>
      <c r="J41" s="602"/>
      <c r="K41" s="602"/>
      <c r="L41" s="602"/>
      <c r="M41" s="602" t="str">
        <f>+[24]Sheet1!$M$41</f>
        <v>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และได้โอนเงินงบประมาณแล้วเมื่อวันที่ 9 พ.ย.58</v>
      </c>
      <c r="N41" s="410"/>
      <c r="O41" s="401"/>
      <c r="P41" s="401"/>
      <c r="Q41" s="401"/>
      <c r="R41" s="401"/>
    </row>
    <row r="42" spans="1:18" s="284" customFormat="1" ht="51" customHeight="1" x14ac:dyDescent="0.2">
      <c r="A42" s="428">
        <v>31</v>
      </c>
      <c r="B42" s="601"/>
      <c r="C42" s="568" t="s">
        <v>308</v>
      </c>
      <c r="D42" s="425" t="s">
        <v>296</v>
      </c>
      <c r="E42" s="470" t="s">
        <v>327</v>
      </c>
      <c r="F42" s="471">
        <v>23842000</v>
      </c>
      <c r="G42" s="426"/>
      <c r="H42" s="426"/>
      <c r="I42" s="606">
        <f>+[24]Sheet1!$I$42</f>
        <v>0</v>
      </c>
      <c r="J42" s="603"/>
      <c r="K42" s="604"/>
      <c r="L42" s="604"/>
      <c r="M42" s="602">
        <f>+[24]Sheet1!$M$42</f>
        <v>0</v>
      </c>
      <c r="N42" s="410"/>
      <c r="O42" s="401"/>
      <c r="P42" s="401"/>
      <c r="Q42" s="401"/>
      <c r="R42" s="401"/>
    </row>
    <row r="43" spans="1:18" s="16" customFormat="1" ht="22.5" customHeight="1" x14ac:dyDescent="0.2">
      <c r="A43" s="14"/>
      <c r="B43" s="476"/>
      <c r="C43" s="476"/>
      <c r="D43" s="476"/>
      <c r="E43" s="477"/>
      <c r="F43" s="478"/>
      <c r="G43" s="30"/>
      <c r="H43" s="30"/>
      <c r="I43" s="497"/>
      <c r="J43" s="31"/>
      <c r="K43" s="15"/>
      <c r="L43" s="15"/>
      <c r="M43" s="497"/>
      <c r="N43" s="407"/>
      <c r="O43" s="407"/>
      <c r="P43" s="400"/>
      <c r="Q43" s="400"/>
      <c r="R43" s="400"/>
    </row>
    <row r="44" spans="1:18" s="12" customFormat="1" x14ac:dyDescent="0.5">
      <c r="A44" s="607">
        <f>+A42</f>
        <v>31</v>
      </c>
      <c r="B44" s="232"/>
      <c r="C44" s="232"/>
      <c r="D44" s="232"/>
      <c r="E44" s="233" t="s">
        <v>58</v>
      </c>
      <c r="F44" s="297">
        <f>SUM(F11:F43)</f>
        <v>809073900</v>
      </c>
      <c r="G44" s="234">
        <f>SUM(G22:G43)</f>
        <v>0</v>
      </c>
      <c r="H44" s="234">
        <f>SUM(H22:H43)</f>
        <v>0</v>
      </c>
      <c r="I44" s="232"/>
      <c r="J44" s="249">
        <f>SUM(J22:J43)</f>
        <v>0</v>
      </c>
      <c r="K44" s="249">
        <f>SUM(K22:K43)</f>
        <v>0</v>
      </c>
      <c r="L44" s="249">
        <f>SUM(L22:L43)</f>
        <v>0</v>
      </c>
      <c r="M44" s="232"/>
      <c r="N44" s="406"/>
      <c r="O44" s="406"/>
      <c r="P44" s="397">
        <f>+F44+G44</f>
        <v>809073900</v>
      </c>
      <c r="Q44" s="398"/>
      <c r="R44" s="398"/>
    </row>
    <row r="45" spans="1:18" s="16" customFormat="1" x14ac:dyDescent="0.2">
      <c r="A45" s="14"/>
      <c r="B45" s="14"/>
      <c r="C45" s="14"/>
      <c r="D45" s="14"/>
      <c r="E45" s="27" t="s">
        <v>59</v>
      </c>
      <c r="F45" s="304"/>
      <c r="G45" s="31"/>
      <c r="H45" s="31"/>
      <c r="I45" s="497"/>
      <c r="J45" s="31"/>
      <c r="K45" s="15"/>
      <c r="L45" s="15"/>
      <c r="M45" s="497"/>
      <c r="N45" s="407"/>
      <c r="O45" s="407"/>
      <c r="P45" s="400"/>
      <c r="Q45" s="400"/>
      <c r="R45" s="400"/>
    </row>
    <row r="46" spans="1:18" s="16" customFormat="1" ht="98.25" customHeight="1" x14ac:dyDescent="0.2">
      <c r="A46" s="261">
        <v>1</v>
      </c>
      <c r="B46" s="261" t="s">
        <v>451</v>
      </c>
      <c r="C46" s="574" t="s">
        <v>368</v>
      </c>
      <c r="D46" s="261"/>
      <c r="E46" s="510" t="s">
        <v>479</v>
      </c>
      <c r="F46" s="537">
        <v>97000</v>
      </c>
      <c r="G46" s="321"/>
      <c r="H46" s="321"/>
      <c r="I46" s="508">
        <f>+[24]Sheet1!$I$46</f>
        <v>0</v>
      </c>
      <c r="J46" s="508"/>
      <c r="K46" s="508"/>
      <c r="L46" s="508"/>
      <c r="M46" s="508" t="str">
        <f>+[24]Sheet1!$M$46</f>
        <v xml:space="preserve"> - สามารถผูกพันสัญญาได้ภายใน  ธ.ค.58</v>
      </c>
      <c r="N46" s="407">
        <v>1</v>
      </c>
      <c r="O46" s="407"/>
      <c r="P46" s="402">
        <f>F51+G51</f>
        <v>14600000</v>
      </c>
      <c r="Q46" s="400"/>
      <c r="R46" s="400"/>
    </row>
    <row r="47" spans="1:18" s="16" customFormat="1" ht="90.75" customHeight="1" x14ac:dyDescent="0.2">
      <c r="A47" s="261">
        <v>2</v>
      </c>
      <c r="B47" s="261" t="s">
        <v>668</v>
      </c>
      <c r="C47" s="574" t="s">
        <v>368</v>
      </c>
      <c r="D47" s="261"/>
      <c r="E47" s="473" t="s">
        <v>477</v>
      </c>
      <c r="F47" s="474">
        <v>1223000</v>
      </c>
      <c r="G47" s="321"/>
      <c r="H47" s="321"/>
      <c r="I47" s="508">
        <f>+[24]Sheet1!$I$47</f>
        <v>0</v>
      </c>
      <c r="J47" s="508"/>
      <c r="K47" s="508"/>
      <c r="L47" s="508"/>
      <c r="M47" s="508" t="str">
        <f>+[24]Sheet1!$M$47</f>
        <v xml:space="preserve"> - สามารถผูกพันสัญญาได้ภายใน 29 ธ.ค.58</v>
      </c>
      <c r="N47" s="407">
        <v>1</v>
      </c>
      <c r="O47" s="407"/>
      <c r="P47" s="400"/>
      <c r="Q47" s="400"/>
      <c r="R47" s="400"/>
    </row>
    <row r="48" spans="1:18" s="16" customFormat="1" ht="69" x14ac:dyDescent="0.2">
      <c r="A48" s="261">
        <v>3</v>
      </c>
      <c r="B48" s="261" t="s">
        <v>668</v>
      </c>
      <c r="C48" s="574" t="s">
        <v>368</v>
      </c>
      <c r="D48" s="261"/>
      <c r="E48" s="473" t="s">
        <v>478</v>
      </c>
      <c r="F48" s="474">
        <v>1386000</v>
      </c>
      <c r="G48" s="321"/>
      <c r="H48" s="321"/>
      <c r="I48" s="508">
        <f>+[24]Sheet1!$I$48</f>
        <v>0</v>
      </c>
      <c r="J48" s="508"/>
      <c r="K48" s="508"/>
      <c r="L48" s="508"/>
      <c r="M48" s="508" t="str">
        <f>+[24]Sheet1!$M$48</f>
        <v xml:space="preserve"> - สามารถผูกพันสัญญาได้ภายใน 29 ธ.ค.58</v>
      </c>
      <c r="N48" s="407">
        <v>1</v>
      </c>
      <c r="O48" s="407"/>
      <c r="P48" s="400"/>
      <c r="Q48" s="400"/>
      <c r="R48" s="400"/>
    </row>
    <row r="49" spans="1:47" s="16" customFormat="1" ht="108.75" x14ac:dyDescent="0.2">
      <c r="A49" s="425">
        <v>4</v>
      </c>
      <c r="B49" s="425" t="s">
        <v>668</v>
      </c>
      <c r="C49" s="572" t="s">
        <v>368</v>
      </c>
      <c r="D49" s="425"/>
      <c r="E49" s="470" t="s">
        <v>480</v>
      </c>
      <c r="F49" s="471">
        <v>100266000</v>
      </c>
      <c r="G49" s="428"/>
      <c r="H49" s="428"/>
      <c r="I49" s="505">
        <f>+[24]Sheet1!$I$50</f>
        <v>0</v>
      </c>
      <c r="J49" s="505"/>
      <c r="K49" s="505"/>
      <c r="L49" s="505"/>
      <c r="M49" s="505" t="str">
        <f>+[24]Sheet1!$M$50</f>
        <v xml:space="preserve"> - 30 พ.ย.58 เสนอแต่งตั้ง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มี.ค.59</v>
      </c>
      <c r="N49" s="407">
        <v>2</v>
      </c>
      <c r="O49" s="407"/>
      <c r="P49" s="400"/>
      <c r="Q49" s="400"/>
      <c r="R49" s="400"/>
    </row>
    <row r="50" spans="1:47" s="16" customFormat="1" ht="118.5" customHeight="1" x14ac:dyDescent="0.2">
      <c r="A50" s="425">
        <v>5</v>
      </c>
      <c r="B50" s="425" t="s">
        <v>668</v>
      </c>
      <c r="C50" s="557" t="s">
        <v>368</v>
      </c>
      <c r="D50" s="425" t="s">
        <v>30</v>
      </c>
      <c r="E50" s="525" t="s">
        <v>481</v>
      </c>
      <c r="F50" s="526">
        <v>39320000</v>
      </c>
      <c r="G50" s="428"/>
      <c r="H50" s="428"/>
      <c r="I50" s="505">
        <f>+[24]Sheet1!$I$51</f>
        <v>0</v>
      </c>
      <c r="J50" s="505"/>
      <c r="K50" s="505"/>
      <c r="L50" s="505"/>
      <c r="M50" s="505" t="str">
        <f>+[24]Sheet1!$M$51</f>
        <v xml:space="preserve"> - 4 ธ.ค.58 จัดทำรูปแบบรายการเสร็จ
- 7 ธ.ค.58 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ก.พ.59</v>
      </c>
      <c r="N50" s="407">
        <v>2</v>
      </c>
      <c r="O50" s="407"/>
      <c r="P50" s="402"/>
      <c r="Q50" s="400"/>
      <c r="R50" s="400"/>
    </row>
    <row r="51" spans="1:47" s="16" customFormat="1" ht="108.75" x14ac:dyDescent="0.2">
      <c r="A51" s="425">
        <v>6</v>
      </c>
      <c r="B51" s="425" t="s">
        <v>668</v>
      </c>
      <c r="C51" s="494" t="s">
        <v>368</v>
      </c>
      <c r="D51" s="425" t="s">
        <v>30</v>
      </c>
      <c r="E51" s="525" t="s">
        <v>482</v>
      </c>
      <c r="F51" s="526">
        <v>14600000</v>
      </c>
      <c r="G51" s="428"/>
      <c r="H51" s="428"/>
      <c r="I51" s="505">
        <f>+[24]Sheet1!$I$52</f>
        <v>0</v>
      </c>
      <c r="J51" s="505"/>
      <c r="K51" s="505"/>
      <c r="L51" s="505"/>
      <c r="M51" s="505" t="str">
        <f>+[24]Sheet1!$M$52</f>
        <v xml:space="preserve"> - 4 ธ.ค.58 คกก.รายงานผลการกำหนดราคากลาง
- กระบวนการจัดจ้างใช้เวลาในการดำเนินการประมาณ 60 วัน
- สามารถผูกพันสัญญาได้ภายใน มี.ค.59</v>
      </c>
      <c r="N51" s="407">
        <v>2</v>
      </c>
      <c r="O51" s="407"/>
      <c r="P51" s="402"/>
      <c r="Q51" s="400"/>
      <c r="R51" s="400"/>
    </row>
    <row r="52" spans="1:47" s="16" customFormat="1" ht="69.75" thickBot="1" x14ac:dyDescent="0.25">
      <c r="A52" s="425">
        <v>7</v>
      </c>
      <c r="B52" s="425" t="s">
        <v>668</v>
      </c>
      <c r="C52" s="494" t="s">
        <v>368</v>
      </c>
      <c r="D52" s="425" t="s">
        <v>30</v>
      </c>
      <c r="E52" s="470" t="s">
        <v>483</v>
      </c>
      <c r="F52" s="426">
        <v>44810600</v>
      </c>
      <c r="G52" s="428"/>
      <c r="H52" s="428"/>
      <c r="I52" s="505">
        <f>+[24]Sheet1!$I$53</f>
        <v>0</v>
      </c>
      <c r="J52" s="505"/>
      <c r="K52" s="505"/>
      <c r="L52" s="505"/>
      <c r="M52" s="505">
        <f>+[24]Sheet1!$M$53</f>
        <v>0</v>
      </c>
      <c r="N52" s="407">
        <v>2</v>
      </c>
      <c r="O52" s="407"/>
      <c r="P52" s="402"/>
      <c r="Q52" s="400"/>
      <c r="R52" s="400"/>
    </row>
    <row r="53" spans="1:47" s="480" customFormat="1" ht="21" customHeight="1" thickBot="1" x14ac:dyDescent="0.55000000000000004">
      <c r="A53" s="261"/>
      <c r="B53" s="261"/>
      <c r="C53" s="261"/>
      <c r="D53" s="261"/>
      <c r="E53" s="510"/>
      <c r="F53" s="537"/>
      <c r="G53" s="281"/>
      <c r="H53" s="281"/>
      <c r="I53" s="281"/>
      <c r="J53" s="240" t="e">
        <f>J44+#REF!</f>
        <v>#REF!</v>
      </c>
      <c r="K53" s="240" t="e">
        <f>K44+#REF!</f>
        <v>#REF!</v>
      </c>
      <c r="L53" s="240" t="e">
        <f>L44+#REF!</f>
        <v>#REF!</v>
      </c>
      <c r="M53" s="281"/>
      <c r="N53" s="408"/>
      <c r="O53" s="408"/>
      <c r="P53" s="397" t="e">
        <f>+P44+#REF!</f>
        <v>#REF!</v>
      </c>
      <c r="Q53" s="479"/>
      <c r="R53" s="479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47" s="16" customFormat="1" ht="22.5" thickBot="1" x14ac:dyDescent="0.55000000000000004">
      <c r="A54" s="235">
        <f>+A52</f>
        <v>7</v>
      </c>
      <c r="B54" s="235"/>
      <c r="C54" s="235"/>
      <c r="D54" s="235"/>
      <c r="E54" s="236" t="s">
        <v>60</v>
      </c>
      <c r="F54" s="298">
        <f>SUM(F47:F53)</f>
        <v>201605600</v>
      </c>
      <c r="G54" s="237">
        <f>SUM(G47:G53)</f>
        <v>0</v>
      </c>
      <c r="H54" s="237">
        <f>SUM(H47:H53)</f>
        <v>0</v>
      </c>
      <c r="I54" s="250"/>
      <c r="J54" s="375"/>
      <c r="K54" s="376"/>
      <c r="L54" s="376"/>
      <c r="M54" s="250"/>
      <c r="N54" s="407"/>
      <c r="O54" s="407"/>
      <c r="P54" s="400"/>
      <c r="Q54" s="400"/>
      <c r="R54" s="400"/>
    </row>
    <row r="55" spans="1:47" s="16" customFormat="1" ht="22.5" thickBot="1" x14ac:dyDescent="0.55000000000000004">
      <c r="A55" s="238">
        <f>+A44+A54</f>
        <v>38</v>
      </c>
      <c r="B55" s="239"/>
      <c r="C55" s="239"/>
      <c r="D55" s="239"/>
      <c r="E55" s="239" t="s">
        <v>484</v>
      </c>
      <c r="F55" s="299">
        <f>F44+F54</f>
        <v>1010679500</v>
      </c>
      <c r="G55" s="289">
        <f>+G44+G54</f>
        <v>0</v>
      </c>
      <c r="H55" s="289">
        <f>+H44+H54</f>
        <v>0</v>
      </c>
      <c r="I55" s="240"/>
      <c r="J55" s="375"/>
      <c r="K55" s="376"/>
      <c r="L55" s="376"/>
      <c r="M55" s="240"/>
      <c r="N55" s="407"/>
      <c r="O55" s="407"/>
      <c r="P55" s="400"/>
      <c r="Q55" s="400"/>
      <c r="R55" s="400"/>
    </row>
    <row r="56" spans="1:47" s="16" customFormat="1" x14ac:dyDescent="0.2">
      <c r="A56" s="481"/>
      <c r="B56" s="481"/>
      <c r="C56" s="481"/>
      <c r="D56" s="481"/>
      <c r="E56" s="482"/>
      <c r="F56" s="376"/>
      <c r="G56" s="375"/>
      <c r="H56" s="375"/>
      <c r="I56" s="375"/>
      <c r="J56" s="375"/>
      <c r="K56" s="376"/>
      <c r="L56" s="376"/>
      <c r="M56" s="375"/>
      <c r="N56" s="407"/>
      <c r="O56" s="407"/>
      <c r="P56" s="400"/>
      <c r="Q56" s="400"/>
      <c r="R56" s="400"/>
    </row>
    <row r="57" spans="1:47" s="16" customFormat="1" x14ac:dyDescent="0.2">
      <c r="A57" s="481"/>
      <c r="B57" s="481"/>
      <c r="C57" s="481"/>
      <c r="D57" s="481"/>
      <c r="E57" s="482"/>
      <c r="F57" s="376"/>
      <c r="G57" s="375"/>
      <c r="H57" s="375"/>
      <c r="I57" s="375"/>
      <c r="J57" s="375"/>
      <c r="K57" s="376"/>
      <c r="L57" s="376"/>
      <c r="M57" s="375"/>
      <c r="N57" s="407"/>
      <c r="O57" s="407"/>
      <c r="P57" s="400"/>
      <c r="Q57" s="400"/>
      <c r="R57" s="400"/>
    </row>
    <row r="58" spans="1:47" s="16" customFormat="1" x14ac:dyDescent="0.2">
      <c r="A58" s="481"/>
      <c r="B58" s="481"/>
      <c r="C58" s="481"/>
      <c r="D58" s="481"/>
      <c r="E58" s="482"/>
      <c r="F58" s="376"/>
      <c r="G58" s="375"/>
      <c r="H58" s="375"/>
      <c r="I58" s="375"/>
      <c r="J58" s="375"/>
      <c r="K58" s="376"/>
      <c r="L58" s="376"/>
      <c r="M58" s="375"/>
      <c r="N58" s="407"/>
      <c r="O58" s="407"/>
      <c r="P58" s="400"/>
      <c r="Q58" s="400"/>
      <c r="R58" s="400"/>
    </row>
    <row r="59" spans="1:47" x14ac:dyDescent="0.5">
      <c r="A59" s="481"/>
      <c r="B59" s="481"/>
      <c r="C59" s="481"/>
      <c r="D59" s="481"/>
      <c r="E59" s="482"/>
      <c r="F59" s="252"/>
      <c r="G59" s="375"/>
      <c r="H59" s="375"/>
      <c r="I59" s="375"/>
      <c r="M59" s="375"/>
    </row>
    <row r="60" spans="1:47" s="77" customFormat="1" x14ac:dyDescent="0.5">
      <c r="A60" s="481"/>
      <c r="B60" s="481"/>
      <c r="C60" s="481"/>
      <c r="D60" s="481"/>
      <c r="E60" s="482"/>
      <c r="F60" s="252"/>
      <c r="G60" s="375"/>
      <c r="H60" s="375"/>
      <c r="I60" s="375"/>
      <c r="J60" s="119"/>
      <c r="K60" s="484"/>
      <c r="L60" s="484"/>
      <c r="M60" s="375"/>
      <c r="N60" s="465"/>
      <c r="O60" s="465"/>
      <c r="P60" s="399"/>
      <c r="Q60" s="399"/>
      <c r="R60" s="399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</row>
    <row r="61" spans="1:47" s="77" customFormat="1" x14ac:dyDescent="0.5">
      <c r="A61" s="486"/>
      <c r="B61" s="486"/>
      <c r="C61" s="486"/>
      <c r="D61" s="486"/>
      <c r="E61" s="460"/>
      <c r="F61" s="487"/>
      <c r="G61" s="488"/>
      <c r="H61" s="488"/>
      <c r="I61" s="488"/>
      <c r="J61" s="119"/>
      <c r="K61" s="484"/>
      <c r="L61" s="484"/>
      <c r="M61" s="488"/>
      <c r="N61" s="465"/>
      <c r="O61" s="465"/>
      <c r="P61" s="399"/>
      <c r="Q61" s="399"/>
      <c r="R61" s="399"/>
      <c r="S61" s="485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485"/>
      <c r="AF61" s="485"/>
      <c r="AG61" s="485"/>
      <c r="AH61" s="485"/>
      <c r="AI61" s="485"/>
      <c r="AJ61" s="485"/>
      <c r="AK61" s="485"/>
      <c r="AL61" s="485"/>
      <c r="AM61" s="485"/>
      <c r="AN61" s="485"/>
      <c r="AO61" s="485"/>
      <c r="AP61" s="485"/>
      <c r="AQ61" s="485"/>
      <c r="AR61" s="485"/>
      <c r="AS61" s="485"/>
      <c r="AT61" s="485"/>
      <c r="AU61" s="485"/>
    </row>
    <row r="62" spans="1:47" s="77" customFormat="1" ht="22.5" thickBot="1" x14ac:dyDescent="0.55000000000000004">
      <c r="A62" s="483"/>
      <c r="B62" s="483"/>
      <c r="C62" s="483"/>
      <c r="D62" s="483"/>
      <c r="E62" s="77" t="s">
        <v>64</v>
      </c>
      <c r="F62" s="253"/>
      <c r="G62" s="229"/>
      <c r="H62" s="119"/>
      <c r="I62" s="119"/>
      <c r="J62" s="119"/>
      <c r="K62" s="484"/>
      <c r="L62" s="484"/>
      <c r="M62" s="119"/>
      <c r="N62" s="465"/>
      <c r="O62" s="465"/>
      <c r="P62" s="399"/>
      <c r="Q62" s="399"/>
      <c r="R62" s="399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  <c r="AU62" s="485"/>
    </row>
    <row r="63" spans="1:47" s="77" customFormat="1" ht="22.5" thickTop="1" x14ac:dyDescent="0.5">
      <c r="A63" s="483"/>
      <c r="B63" s="483"/>
      <c r="C63" s="483"/>
      <c r="D63" s="483"/>
      <c r="E63" s="77" t="s">
        <v>65</v>
      </c>
      <c r="F63" s="262"/>
      <c r="G63" s="119"/>
      <c r="H63" s="119"/>
      <c r="I63" s="119"/>
      <c r="J63" s="119"/>
      <c r="K63" s="484"/>
      <c r="L63" s="484"/>
      <c r="M63" s="119"/>
      <c r="N63" s="465"/>
      <c r="O63" s="465"/>
      <c r="P63" s="399"/>
      <c r="Q63" s="399"/>
      <c r="R63" s="399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485"/>
      <c r="AU63" s="485"/>
    </row>
    <row r="64" spans="1:47" x14ac:dyDescent="0.5">
      <c r="A64" s="483"/>
      <c r="B64" s="483"/>
      <c r="C64" s="483"/>
      <c r="D64" s="483"/>
      <c r="E64" s="77" t="s">
        <v>66</v>
      </c>
      <c r="F64" s="262"/>
      <c r="G64" s="119"/>
      <c r="H64" s="119"/>
      <c r="I64" s="119"/>
      <c r="M64" s="119"/>
    </row>
    <row r="65" spans="1:13" x14ac:dyDescent="0.5">
      <c r="A65" s="483"/>
      <c r="B65" s="483"/>
      <c r="C65" s="483"/>
      <c r="D65" s="483"/>
      <c r="E65" s="77" t="s">
        <v>67</v>
      </c>
      <c r="F65" s="262"/>
      <c r="G65" s="119"/>
      <c r="H65" s="119"/>
      <c r="I65" s="119"/>
      <c r="M65" s="119"/>
    </row>
  </sheetData>
  <autoFilter ref="N1:N65"/>
  <mergeCells count="20">
    <mergeCell ref="A5:A8"/>
    <mergeCell ref="B5:B8"/>
    <mergeCell ref="D5:D8"/>
    <mergeCell ref="E5:E8"/>
    <mergeCell ref="A1:M1"/>
    <mergeCell ref="A2:M2"/>
    <mergeCell ref="A3:M3"/>
    <mergeCell ref="F4:G4"/>
    <mergeCell ref="K5:K8"/>
    <mergeCell ref="F5:H5"/>
    <mergeCell ref="I5:I8"/>
    <mergeCell ref="H6:H8"/>
    <mergeCell ref="M5:M8"/>
    <mergeCell ref="R5:R8"/>
    <mergeCell ref="C5:C8"/>
    <mergeCell ref="L5:L8"/>
    <mergeCell ref="G6:G8"/>
    <mergeCell ref="J5:J8"/>
    <mergeCell ref="Q5:Q8"/>
    <mergeCell ref="F6:F8"/>
  </mergeCells>
  <phoneticPr fontId="2" type="noConversion"/>
  <conditionalFormatting sqref="F11:F12 F14 F18 F46:F49">
    <cfRule type="cellIs" dxfId="38" priority="58" stopIfTrue="1" operator="between">
      <formula>2000001</formula>
      <formula>500000000</formula>
    </cfRule>
  </conditionalFormatting>
  <conditionalFormatting sqref="F50">
    <cfRule type="cellIs" dxfId="37" priority="55" stopIfTrue="1" operator="between">
      <formula>2000001</formula>
      <formula>500000000</formula>
    </cfRule>
  </conditionalFormatting>
  <conditionalFormatting sqref="F51:F52">
    <cfRule type="cellIs" dxfId="36" priority="54" stopIfTrue="1" operator="between">
      <formula>2000001</formula>
      <formula>500000000</formula>
    </cfRule>
  </conditionalFormatting>
  <conditionalFormatting sqref="F13">
    <cfRule type="cellIs" dxfId="35" priority="51" stopIfTrue="1" operator="between">
      <formula>2000001</formula>
      <formula>500000000</formula>
    </cfRule>
  </conditionalFormatting>
  <conditionalFormatting sqref="F15:F16">
    <cfRule type="cellIs" dxfId="34" priority="49" stopIfTrue="1" operator="between">
      <formula>2000001</formula>
      <formula>500000000</formula>
    </cfRule>
  </conditionalFormatting>
  <conditionalFormatting sqref="F17">
    <cfRule type="cellIs" dxfId="33" priority="48" stopIfTrue="1" operator="between">
      <formula>2000001</formula>
      <formula>500000000</formula>
    </cfRule>
  </conditionalFormatting>
  <conditionalFormatting sqref="F19">
    <cfRule type="cellIs" dxfId="32" priority="47" stopIfTrue="1" operator="between">
      <formula>2000001</formula>
      <formula>500000000</formula>
    </cfRule>
  </conditionalFormatting>
  <conditionalFormatting sqref="F20">
    <cfRule type="cellIs" dxfId="31" priority="45" stopIfTrue="1" operator="between">
      <formula>2000001</formula>
      <formula>500000000</formula>
    </cfRule>
  </conditionalFormatting>
  <conditionalFormatting sqref="F22:F27">
    <cfRule type="cellIs" dxfId="30" priority="42" stopIfTrue="1" operator="between">
      <formula>2000001</formula>
      <formula>500000000</formula>
    </cfRule>
  </conditionalFormatting>
  <conditionalFormatting sqref="F28:F30">
    <cfRule type="cellIs" dxfId="29" priority="41" stopIfTrue="1" operator="between">
      <formula>2000001</formula>
      <formula>500000000</formula>
    </cfRule>
  </conditionalFormatting>
  <conditionalFormatting sqref="F31">
    <cfRule type="cellIs" dxfId="28" priority="40" stopIfTrue="1" operator="between">
      <formula>2000001</formula>
      <formula>500000000</formula>
    </cfRule>
  </conditionalFormatting>
  <conditionalFormatting sqref="F11:F31 F46:F52">
    <cfRule type="cellIs" dxfId="27" priority="31" stopIfTrue="1" operator="greaterThan">
      <formula>500000001</formula>
    </cfRule>
    <cfRule type="cellIs" dxfId="26" priority="32" stopIfTrue="1" operator="greaterThan">
      <formula>500000001</formula>
    </cfRule>
  </conditionalFormatting>
  <conditionalFormatting sqref="F20">
    <cfRule type="cellIs" dxfId="25" priority="29" stopIfTrue="1" operator="greaterThan">
      <formula>500000001</formula>
    </cfRule>
  </conditionalFormatting>
  <conditionalFormatting sqref="F32">
    <cfRule type="cellIs" dxfId="24" priority="20" stopIfTrue="1" operator="between">
      <formula>2000001</formula>
      <formula>500000000</formula>
    </cfRule>
  </conditionalFormatting>
  <conditionalFormatting sqref="F32">
    <cfRule type="cellIs" dxfId="23" priority="18" stopIfTrue="1" operator="greaterThan">
      <formula>500000001</formula>
    </cfRule>
    <cfRule type="cellIs" dxfId="22" priority="19" stopIfTrue="1" operator="greaterThan">
      <formula>500000001</formula>
    </cfRule>
  </conditionalFormatting>
  <conditionalFormatting sqref="F33">
    <cfRule type="cellIs" dxfId="21" priority="17" stopIfTrue="1" operator="between">
      <formula>2000001</formula>
      <formula>500000000</formula>
    </cfRule>
  </conditionalFormatting>
  <conditionalFormatting sqref="F33">
    <cfRule type="cellIs" dxfId="20" priority="15" stopIfTrue="1" operator="greaterThan">
      <formula>500000001</formula>
    </cfRule>
    <cfRule type="cellIs" dxfId="19" priority="16" stopIfTrue="1" operator="greaterThan">
      <formula>500000001</formula>
    </cfRule>
  </conditionalFormatting>
  <conditionalFormatting sqref="F34:F35">
    <cfRule type="cellIs" dxfId="18" priority="14" stopIfTrue="1" operator="between">
      <formula>2000001</formula>
      <formula>500000000</formula>
    </cfRule>
  </conditionalFormatting>
  <conditionalFormatting sqref="F34:F35">
    <cfRule type="cellIs" dxfId="17" priority="12" stopIfTrue="1" operator="greaterThan">
      <formula>500000001</formula>
    </cfRule>
    <cfRule type="cellIs" dxfId="16" priority="13" stopIfTrue="1" operator="greaterThan">
      <formula>500000001</formula>
    </cfRule>
  </conditionalFormatting>
  <conditionalFormatting sqref="F36:F37">
    <cfRule type="cellIs" dxfId="15" priority="11" stopIfTrue="1" operator="between">
      <formula>2000001</formula>
      <formula>500000000</formula>
    </cfRule>
  </conditionalFormatting>
  <conditionalFormatting sqref="F36:F37">
    <cfRule type="cellIs" dxfId="14" priority="9" stopIfTrue="1" operator="greaterThan">
      <formula>500000001</formula>
    </cfRule>
    <cfRule type="cellIs" dxfId="13" priority="10" stopIfTrue="1" operator="greaterThan">
      <formula>500000001</formula>
    </cfRule>
  </conditionalFormatting>
  <conditionalFormatting sqref="F38">
    <cfRule type="cellIs" dxfId="12" priority="8" stopIfTrue="1" operator="between">
      <formula>2000001</formula>
      <formula>500000000</formula>
    </cfRule>
  </conditionalFormatting>
  <conditionalFormatting sqref="F39">
    <cfRule type="cellIs" dxfId="11" priority="7" stopIfTrue="1" operator="between">
      <formula>2000001</formula>
      <formula>500000000</formula>
    </cfRule>
  </conditionalFormatting>
  <conditionalFormatting sqref="F38:F39">
    <cfRule type="cellIs" dxfId="10" priority="5" stopIfTrue="1" operator="greaterThan">
      <formula>500000001</formula>
    </cfRule>
    <cfRule type="cellIs" dxfId="9" priority="6" stopIfTrue="1" operator="greaterThan">
      <formula>500000001</formula>
    </cfRule>
  </conditionalFormatting>
  <conditionalFormatting sqref="A41:G41">
    <cfRule type="cellIs" dxfId="8" priority="4" stopIfTrue="1" operator="between">
      <formula>2000001</formula>
      <formula>500000000</formula>
    </cfRule>
  </conditionalFormatting>
  <conditionalFormatting sqref="F40">
    <cfRule type="cellIs" dxfId="7" priority="3" stopIfTrue="1" operator="between">
      <formula>2000001</formula>
      <formula>500000000</formula>
    </cfRule>
  </conditionalFormatting>
  <conditionalFormatting sqref="F42">
    <cfRule type="cellIs" dxfId="6" priority="2" stopIfTrue="1" operator="between">
      <formula>2000001</formula>
      <formula>500000000</formula>
    </cfRule>
  </conditionalFormatting>
  <conditionalFormatting sqref="A42:B42">
    <cfRule type="cellIs" dxfId="5" priority="1" stopIfTrue="1" operator="between">
      <formula>2000001</formula>
      <formula>500000000</formula>
    </cfRule>
  </conditionalFormatting>
  <pageMargins left="0.55118110236220474" right="0.55118110236220474" top="0.78740157480314965" bottom="0.59055118110236227" header="0.35433070866141736" footer="0.51181102362204722"/>
  <pageSetup paperSize="9" scale="85" orientation="landscape" blackAndWhite="1" r:id="rId1"/>
  <headerFooter alignWithMargins="0"/>
  <rowBreaks count="2" manualBreakCount="2">
    <brk id="60" max="14" man="1"/>
    <brk id="10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0"/>
  <sheetViews>
    <sheetView topLeftCell="A25"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140625" style="486" customWidth="1"/>
    <col min="5" max="5" width="49.140625" style="460" customWidth="1"/>
    <col min="6" max="6" width="15.140625" style="487" customWidth="1"/>
    <col min="7" max="7" width="13" style="488" customWidth="1"/>
    <col min="8" max="8" width="12.42578125" style="488" hidden="1" customWidth="1"/>
    <col min="9" max="9" width="28.42578125" style="488" customWidth="1"/>
    <col min="10" max="10" width="13.140625" style="488" hidden="1" customWidth="1"/>
    <col min="11" max="11" width="5.42578125" style="464" hidden="1" customWidth="1"/>
    <col min="12" max="12" width="3.85546875" style="464" hidden="1" customWidth="1"/>
    <col min="13" max="13" width="28.85546875" style="488" customWidth="1"/>
    <col min="14" max="14" width="4.14062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12</v>
      </c>
      <c r="Q2" s="397" t="e">
        <f>SUM(#REF!)</f>
        <v>#REF!</v>
      </c>
      <c r="R2" s="523">
        <v>1</v>
      </c>
      <c r="S2" s="397">
        <f>+F14</f>
        <v>800000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 t="s">
        <v>70</v>
      </c>
      <c r="Q3" s="462" t="s">
        <v>70</v>
      </c>
      <c r="R3" s="463">
        <v>4</v>
      </c>
      <c r="S3" s="462" t="e">
        <f>+#REF!+F15+F16+#REF!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30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hidden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idden="1" x14ac:dyDescent="0.2">
      <c r="A11" s="14"/>
      <c r="B11" s="476"/>
      <c r="C11" s="261"/>
      <c r="D11" s="476"/>
      <c r="E11" s="608"/>
      <c r="F11" s="609"/>
      <c r="G11" s="294"/>
      <c r="H11" s="294"/>
      <c r="I11" s="294"/>
      <c r="J11" s="294"/>
      <c r="K11" s="295"/>
      <c r="L11" s="295"/>
      <c r="M11" s="294"/>
      <c r="N11" s="590"/>
      <c r="O11" s="400"/>
      <c r="P11" s="400"/>
      <c r="Q11" s="400"/>
      <c r="R11" s="400"/>
      <c r="S11" s="400"/>
    </row>
    <row r="12" spans="1:38" s="12" customFormat="1" hidden="1" x14ac:dyDescent="0.5">
      <c r="A12" s="232">
        <f>+A11</f>
        <v>0</v>
      </c>
      <c r="B12" s="232"/>
      <c r="C12" s="232"/>
      <c r="D12" s="232"/>
      <c r="E12" s="233" t="s">
        <v>58</v>
      </c>
      <c r="F12" s="249">
        <f>SUM(F11:F11)</f>
        <v>0</v>
      </c>
      <c r="G12" s="234">
        <f>SUM(G11:G11)</f>
        <v>0</v>
      </c>
      <c r="H12" s="234">
        <f>SUM(H11:H11)</f>
        <v>0</v>
      </c>
      <c r="I12" s="249"/>
      <c r="J12" s="249" t="e">
        <f>SUM(#REF!)</f>
        <v>#REF!</v>
      </c>
      <c r="K12" s="249" t="e">
        <f>SUM(#REF!)</f>
        <v>#REF!</v>
      </c>
      <c r="L12" s="249" t="e">
        <f>SUM(#REF!)</f>
        <v>#REF!</v>
      </c>
      <c r="M12" s="249"/>
      <c r="N12" s="406"/>
      <c r="O12" s="397">
        <f>+F12+G12</f>
        <v>0</v>
      </c>
      <c r="P12" s="398"/>
      <c r="Q12" s="398"/>
      <c r="R12" s="399"/>
      <c r="S12" s="399"/>
    </row>
    <row r="13" spans="1:38" s="16" customFormat="1" x14ac:dyDescent="0.2">
      <c r="A13" s="14"/>
      <c r="B13" s="14"/>
      <c r="C13" s="14"/>
      <c r="D13" s="14"/>
      <c r="E13" s="27" t="s">
        <v>59</v>
      </c>
      <c r="F13" s="31"/>
      <c r="G13" s="31"/>
      <c r="H13" s="31"/>
      <c r="I13" s="31"/>
      <c r="J13" s="31"/>
      <c r="K13" s="15"/>
      <c r="L13" s="15"/>
      <c r="M13" s="31"/>
      <c r="N13" s="407"/>
      <c r="O13" s="400"/>
      <c r="P13" s="400"/>
      <c r="Q13" s="400"/>
      <c r="R13" s="400"/>
      <c r="S13" s="400"/>
    </row>
    <row r="14" spans="1:38" s="16" customFormat="1" ht="117" customHeight="1" x14ac:dyDescent="0.2">
      <c r="A14" s="261">
        <v>1</v>
      </c>
      <c r="B14" s="261"/>
      <c r="C14" s="554" t="s">
        <v>368</v>
      </c>
      <c r="D14" s="261" t="s">
        <v>30</v>
      </c>
      <c r="E14" s="533" t="s">
        <v>485</v>
      </c>
      <c r="F14" s="534">
        <v>800000</v>
      </c>
      <c r="G14" s="281"/>
      <c r="H14" s="281"/>
      <c r="I14" s="281" t="str">
        <f>+[25]สกพ.!I14</f>
        <v>ได้บริษัทผู้รับจ้างแล้ว  
จะลงนามสัญญาในวันที่ 9 พ.ย.58</v>
      </c>
      <c r="J14" s="31"/>
      <c r="K14" s="15"/>
      <c r="L14" s="15"/>
      <c r="M14" s="508" t="str">
        <f>+[25]สกพ.!M14</f>
        <v>  ลงนามในสัญญาจ้างกับบริษัท นนท์มหานคร จำกัด เลขที่ 5/2559 ลง 13 พ.ย.58 เป็นเงินจำนวน 679,000 บาท  
ครบกำหนดส่งมอบงาน 28 ธ.ค.58 </v>
      </c>
      <c r="N14" s="407">
        <v>1</v>
      </c>
      <c r="O14" s="400"/>
      <c r="P14" s="400"/>
      <c r="Q14" s="400"/>
      <c r="R14" s="400"/>
      <c r="S14" s="400"/>
    </row>
    <row r="15" spans="1:38" s="16" customFormat="1" ht="45" x14ac:dyDescent="0.2">
      <c r="A15" s="425">
        <v>2</v>
      </c>
      <c r="B15" s="425"/>
      <c r="C15" s="557" t="s">
        <v>368</v>
      </c>
      <c r="D15" s="425" t="s">
        <v>30</v>
      </c>
      <c r="E15" s="525" t="s">
        <v>486</v>
      </c>
      <c r="F15" s="526">
        <v>12000000</v>
      </c>
      <c r="G15" s="426"/>
      <c r="H15" s="426"/>
      <c r="I15" s="426" t="str">
        <f>+[25]สกพ.!I15</f>
        <v>อยู่ระหว่างรอรูปแบบรายการจาก ยธ.</v>
      </c>
      <c r="J15" s="423"/>
      <c r="K15" s="535"/>
      <c r="L15" s="535"/>
      <c r="M15" s="505" t="str">
        <f>+[25]สกพ.!M15</f>
        <v>อยู่ระหว่างคณะกรรมการกำหนดราคากลาง</v>
      </c>
      <c r="N15" s="407">
        <v>2</v>
      </c>
      <c r="O15" s="400"/>
      <c r="P15" s="400"/>
      <c r="Q15" s="400"/>
      <c r="R15" s="400"/>
      <c r="S15" s="400"/>
    </row>
    <row r="16" spans="1:38" s="16" customFormat="1" ht="87" x14ac:dyDescent="0.2">
      <c r="A16" s="425">
        <v>3</v>
      </c>
      <c r="B16" s="425"/>
      <c r="C16" s="557" t="s">
        <v>368</v>
      </c>
      <c r="D16" s="425" t="s">
        <v>30</v>
      </c>
      <c r="E16" s="525" t="s">
        <v>487</v>
      </c>
      <c r="F16" s="526">
        <v>3458000</v>
      </c>
      <c r="G16" s="426"/>
      <c r="H16" s="426"/>
      <c r="I16" s="426" t="str">
        <f>+[25]สกพ.!I16</f>
        <v>อยู่ระหว่างแต่งตั้งคณะกรรมการกำหนดราคากลาง</v>
      </c>
      <c r="J16" s="423"/>
      <c r="K16" s="535"/>
      <c r="L16" s="535"/>
      <c r="M16" s="505" t="str">
        <f>+[25]สกพ.!M16</f>
        <v xml:space="preserve"> อยู่ระหว่างขอรับความเห็นชอบในการประกวดราคา โดยวิธีประกวดราคาอิเล็กทรอนิกส์ (Electronic Bidding : e – bidding) </v>
      </c>
      <c r="N16" s="407">
        <v>2</v>
      </c>
      <c r="O16" s="400"/>
      <c r="P16" s="400"/>
      <c r="Q16" s="400"/>
      <c r="R16" s="400"/>
      <c r="S16" s="400"/>
    </row>
    <row r="17" spans="1:46" s="16" customFormat="1" x14ac:dyDescent="0.2">
      <c r="A17" s="14"/>
      <c r="B17" s="14"/>
      <c r="C17" s="14"/>
      <c r="D17" s="14"/>
      <c r="E17" s="477"/>
      <c r="F17" s="496"/>
      <c r="G17" s="30"/>
      <c r="H17" s="30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46" s="16" customFormat="1" ht="22.5" thickBot="1" x14ac:dyDescent="0.55000000000000004">
      <c r="A18" s="235">
        <f>+A16</f>
        <v>3</v>
      </c>
      <c r="B18" s="235"/>
      <c r="C18" s="235"/>
      <c r="D18" s="235"/>
      <c r="E18" s="236" t="s">
        <v>60</v>
      </c>
      <c r="F18" s="298">
        <f>SUM(F14:F17)</f>
        <v>16258000</v>
      </c>
      <c r="G18" s="237">
        <f>SUM(G17:G17)</f>
        <v>0</v>
      </c>
      <c r="H18" s="237">
        <f>SUM(H17:H17)</f>
        <v>0</v>
      </c>
      <c r="I18" s="250"/>
      <c r="J18" s="250">
        <f>SUM(J17:J17)</f>
        <v>0</v>
      </c>
      <c r="K18" s="250">
        <f>SUM(K17:K17)</f>
        <v>0</v>
      </c>
      <c r="L18" s="250">
        <f>SUM(L17:L17)</f>
        <v>0</v>
      </c>
      <c r="M18" s="250"/>
      <c r="N18" s="405"/>
      <c r="O18" s="402">
        <f>+F18+G18</f>
        <v>16258000</v>
      </c>
      <c r="P18" s="398"/>
      <c r="Q18" s="398"/>
      <c r="R18" s="400"/>
      <c r="S18" s="400"/>
    </row>
    <row r="19" spans="1:46" s="480" customFormat="1" ht="22.5" thickBot="1" x14ac:dyDescent="0.55000000000000004">
      <c r="A19" s="238">
        <f>+A12+A18</f>
        <v>3</v>
      </c>
      <c r="B19" s="239"/>
      <c r="C19" s="239"/>
      <c r="D19" s="239"/>
      <c r="E19" s="239" t="s">
        <v>488</v>
      </c>
      <c r="F19" s="299">
        <f>F12+F18</f>
        <v>16258000</v>
      </c>
      <c r="G19" s="289">
        <f>+G12+G18</f>
        <v>0</v>
      </c>
      <c r="H19" s="289">
        <f>+H12+H18</f>
        <v>0</v>
      </c>
      <c r="I19" s="240"/>
      <c r="J19" s="240" t="e">
        <f>J12+J18</f>
        <v>#REF!</v>
      </c>
      <c r="K19" s="240" t="e">
        <f>K12+K18</f>
        <v>#REF!</v>
      </c>
      <c r="L19" s="240" t="e">
        <f>L12+L18</f>
        <v>#REF!</v>
      </c>
      <c r="M19" s="240"/>
      <c r="N19" s="408"/>
      <c r="O19" s="397">
        <f>+O12+O18</f>
        <v>16258000</v>
      </c>
      <c r="P19" s="479"/>
      <c r="Q19" s="479"/>
      <c r="R19" s="399"/>
      <c r="S19" s="399"/>
      <c r="T19" s="12"/>
      <c r="U19" s="12"/>
      <c r="V19" s="12"/>
      <c r="W19" s="12"/>
      <c r="X19" s="12"/>
      <c r="Y19" s="12"/>
      <c r="Z19" s="12"/>
      <c r="AA19" s="12"/>
    </row>
    <row r="20" spans="1:46" s="16" customFormat="1" x14ac:dyDescent="0.2">
      <c r="A20" s="481"/>
      <c r="B20" s="481"/>
      <c r="C20" s="481"/>
      <c r="D20" s="481"/>
      <c r="E20" s="482"/>
      <c r="F20" s="376"/>
      <c r="G20" s="375"/>
      <c r="H20" s="375"/>
      <c r="I20" s="375"/>
      <c r="J20" s="375"/>
      <c r="K20" s="376"/>
      <c r="L20" s="376"/>
      <c r="M20" s="375"/>
      <c r="N20" s="407"/>
      <c r="O20" s="400"/>
      <c r="P20" s="400"/>
      <c r="Q20" s="400"/>
      <c r="R20" s="400"/>
      <c r="S20" s="400"/>
    </row>
    <row r="21" spans="1:46" s="16" customFormat="1" x14ac:dyDescent="0.2">
      <c r="A21" s="481"/>
      <c r="B21" s="481"/>
      <c r="C21" s="481"/>
      <c r="D21" s="481"/>
      <c r="E21" s="482"/>
      <c r="F21" s="376"/>
      <c r="G21" s="375"/>
      <c r="H21" s="375"/>
      <c r="I21" s="375"/>
      <c r="J21" s="375"/>
      <c r="K21" s="376"/>
      <c r="L21" s="376"/>
      <c r="M21" s="375"/>
      <c r="N21" s="407"/>
      <c r="O21" s="400"/>
      <c r="P21" s="400"/>
      <c r="Q21" s="400"/>
      <c r="R21" s="400"/>
      <c r="S21" s="400"/>
    </row>
    <row r="22" spans="1:46" s="16" customFormat="1" x14ac:dyDescent="0.2">
      <c r="A22" s="481"/>
      <c r="B22" s="481"/>
      <c r="C22" s="481"/>
      <c r="D22" s="481"/>
      <c r="E22" s="482"/>
      <c r="F22" s="376"/>
      <c r="G22" s="375"/>
      <c r="H22" s="375"/>
      <c r="I22" s="375"/>
      <c r="J22" s="375"/>
      <c r="K22" s="376"/>
      <c r="L22" s="376"/>
      <c r="M22" s="375"/>
      <c r="N22" s="407"/>
      <c r="O22" s="400"/>
      <c r="P22" s="400"/>
      <c r="Q22" s="400"/>
      <c r="R22" s="400"/>
      <c r="S22" s="400"/>
    </row>
    <row r="23" spans="1:46" s="16" customFormat="1" x14ac:dyDescent="0.2">
      <c r="A23" s="481"/>
      <c r="B23" s="481"/>
      <c r="C23" s="481"/>
      <c r="D23" s="481"/>
      <c r="E23" s="482"/>
      <c r="F23" s="376"/>
      <c r="G23" s="375"/>
      <c r="H23" s="375"/>
      <c r="I23" s="375"/>
      <c r="J23" s="375"/>
      <c r="K23" s="376"/>
      <c r="L23" s="376"/>
      <c r="M23" s="375"/>
      <c r="N23" s="407"/>
      <c r="O23" s="400"/>
      <c r="P23" s="400"/>
      <c r="Q23" s="400"/>
      <c r="R23" s="400"/>
      <c r="S23" s="400"/>
    </row>
    <row r="24" spans="1:46" s="16" customFormat="1" x14ac:dyDescent="0.2">
      <c r="A24" s="481"/>
      <c r="B24" s="481"/>
      <c r="C24" s="481"/>
      <c r="D24" s="481"/>
      <c r="E24" s="482"/>
      <c r="F24" s="376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5" spans="1:46" s="16" customFormat="1" x14ac:dyDescent="0.5">
      <c r="A25" s="481"/>
      <c r="B25" s="481"/>
      <c r="C25" s="481"/>
      <c r="D25" s="481"/>
      <c r="E25" s="482"/>
      <c r="F25" s="252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7" spans="1:46" s="77" customFormat="1" ht="22.5" thickBot="1" x14ac:dyDescent="0.55000000000000004">
      <c r="A27" s="483"/>
      <c r="B27" s="483"/>
      <c r="C27" s="483"/>
      <c r="D27" s="483"/>
      <c r="E27" s="77" t="s">
        <v>64</v>
      </c>
      <c r="F27" s="253"/>
      <c r="G27" s="22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ht="22.5" thickTop="1" x14ac:dyDescent="0.5">
      <c r="A28" s="483"/>
      <c r="B28" s="483"/>
      <c r="C28" s="483"/>
      <c r="D28" s="483"/>
      <c r="E28" s="77" t="s">
        <v>65</v>
      </c>
      <c r="F28" s="262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E29" s="77" t="s">
        <v>66</v>
      </c>
      <c r="F29" s="262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E30" s="77" t="s">
        <v>67</v>
      </c>
      <c r="F30" s="262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</sheetData>
  <autoFilter ref="N1:N30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conditionalFormatting sqref="F14:F16">
    <cfRule type="cellIs" dxfId="4" priority="1" stopIfTrue="1" operator="between">
      <formula>2000001</formula>
      <formula>500000000</formula>
    </cfRule>
  </conditionalFormatting>
  <pageMargins left="0.55118110236220474" right="0.55118110236220474" top="0.59055118110236227" bottom="0.59055118110236227" header="0.31496062992125984" footer="0.31496062992125984"/>
  <pageSetup paperSize="9" scale="85" orientation="landscape" blackAndWhite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2" width="5.85546875" style="3" customWidth="1"/>
    <col min="3" max="3" width="7.140625" style="3" customWidth="1"/>
    <col min="4" max="4" width="6.42578125" style="3" customWidth="1"/>
    <col min="5" max="5" width="45" style="1" bestFit="1" customWidth="1"/>
    <col min="6" max="6" width="12.85546875" style="255" customWidth="1"/>
    <col min="7" max="7" width="13.5703125" style="101" customWidth="1"/>
    <col min="8" max="8" width="13.5703125" style="101" hidden="1" customWidth="1"/>
    <col min="9" max="9" width="30.85546875" style="101" customWidth="1"/>
    <col min="10" max="10" width="0.140625" style="101" hidden="1" customWidth="1"/>
    <col min="11" max="11" width="12.85546875" style="150" hidden="1" customWidth="1"/>
    <col min="12" max="12" width="4.140625" style="150" hidden="1" customWidth="1"/>
    <col min="13" max="13" width="30.85546875" style="101" customWidth="1"/>
    <col min="14" max="14" width="5.42578125" style="391" customWidth="1"/>
    <col min="15" max="15" width="19.5703125" style="384" bestFit="1" customWidth="1"/>
    <col min="16" max="16" width="9.140625" style="384"/>
    <col min="17" max="17" width="12.42578125" style="384" bestFit="1" customWidth="1"/>
    <col min="18" max="19" width="9.140625" style="384"/>
    <col min="20" max="27" width="9.140625" style="2"/>
    <col min="28" max="16384" width="9.140625" style="1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84" t="s">
        <v>68</v>
      </c>
      <c r="S1" s="384" t="s">
        <v>63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385" t="s">
        <v>69</v>
      </c>
      <c r="P2" s="384">
        <v>12</v>
      </c>
      <c r="Q2" s="386">
        <f>SUM(F11:F11)</f>
        <v>0</v>
      </c>
      <c r="R2" s="386" t="s">
        <v>70</v>
      </c>
      <c r="S2" s="384" t="s">
        <v>70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387" t="s">
        <v>72</v>
      </c>
      <c r="P3" s="388" t="s">
        <v>70</v>
      </c>
      <c r="Q3" s="389" t="s">
        <v>70</v>
      </c>
      <c r="R3" s="390" t="s">
        <v>70</v>
      </c>
      <c r="S3" s="389" t="s">
        <v>70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671"/>
      <c r="G4" s="671"/>
      <c r="H4" s="444"/>
      <c r="I4" s="444"/>
      <c r="J4" s="444"/>
      <c r="M4" s="444"/>
      <c r="O4" s="384" t="s">
        <v>73</v>
      </c>
      <c r="P4" s="392" t="s">
        <v>70</v>
      </c>
      <c r="Q4" s="392" t="s">
        <v>70</v>
      </c>
      <c r="R4" s="384" t="s">
        <v>70</v>
      </c>
      <c r="S4" s="384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70" t="s">
        <v>53</v>
      </c>
      <c r="Q5" s="670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70"/>
      <c r="Q6" s="670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70"/>
      <c r="Q7" s="670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70"/>
      <c r="Q8" s="670"/>
    </row>
    <row r="9" spans="1:38" x14ac:dyDescent="0.5">
      <c r="A9" s="10"/>
      <c r="B9" s="10"/>
      <c r="C9" s="10"/>
      <c r="D9" s="10"/>
      <c r="E9" s="29" t="s">
        <v>31</v>
      </c>
      <c r="F9" s="247"/>
      <c r="G9" s="100"/>
      <c r="H9" s="100"/>
      <c r="I9" s="100"/>
      <c r="J9" s="100"/>
      <c r="K9" s="182"/>
      <c r="L9" s="182"/>
      <c r="M9" s="100"/>
    </row>
    <row r="10" spans="1:38" s="7" customFormat="1" x14ac:dyDescent="0.2">
      <c r="A10" s="5"/>
      <c r="B10" s="5"/>
      <c r="C10" s="5"/>
      <c r="D10" s="5"/>
      <c r="E10" s="14" t="s">
        <v>2</v>
      </c>
      <c r="F10" s="9"/>
      <c r="G10" s="9"/>
      <c r="H10" s="9"/>
      <c r="I10" s="9"/>
      <c r="J10" s="9"/>
      <c r="K10" s="8"/>
      <c r="L10" s="8"/>
      <c r="M10" s="9"/>
      <c r="N10" s="393"/>
      <c r="O10" s="387"/>
      <c r="P10" s="387"/>
      <c r="Q10" s="387"/>
      <c r="R10" s="387"/>
      <c r="S10" s="387"/>
    </row>
    <row r="11" spans="1:38" s="286" customFormat="1" x14ac:dyDescent="0.2">
      <c r="A11" s="259"/>
      <c r="B11" s="259"/>
      <c r="C11" s="323"/>
      <c r="D11" s="259"/>
      <c r="E11" s="260"/>
      <c r="F11" s="257"/>
      <c r="G11" s="257"/>
      <c r="H11" s="257"/>
      <c r="I11" s="257">
        <f>+[26]สงป.!I11</f>
        <v>0</v>
      </c>
      <c r="J11" s="257"/>
      <c r="K11" s="271"/>
      <c r="L11" s="271"/>
      <c r="M11" s="257">
        <f>+[26]สงป.!M11</f>
        <v>0</v>
      </c>
      <c r="N11" s="395">
        <v>1</v>
      </c>
      <c r="O11" s="396"/>
      <c r="P11" s="396"/>
      <c r="Q11" s="396"/>
      <c r="R11" s="396"/>
      <c r="S11" s="396"/>
    </row>
    <row r="12" spans="1:38" s="7" customFormat="1" x14ac:dyDescent="0.2">
      <c r="A12" s="5"/>
      <c r="B12" s="5"/>
      <c r="C12" s="5"/>
      <c r="D12" s="5"/>
      <c r="E12" s="14"/>
      <c r="F12" s="9"/>
      <c r="G12" s="9"/>
      <c r="H12" s="9"/>
      <c r="I12" s="9"/>
      <c r="J12" s="9"/>
      <c r="K12" s="8"/>
      <c r="L12" s="8"/>
      <c r="M12" s="9"/>
      <c r="N12" s="393"/>
      <c r="O12" s="387"/>
      <c r="P12" s="387"/>
      <c r="Q12" s="387"/>
      <c r="R12" s="387"/>
      <c r="S12" s="387"/>
    </row>
    <row r="13" spans="1:38" s="12" customFormat="1" ht="22.5" thickBot="1" x14ac:dyDescent="0.55000000000000004">
      <c r="A13" s="232">
        <f>+A11</f>
        <v>0</v>
      </c>
      <c r="B13" s="232"/>
      <c r="C13" s="232"/>
      <c r="D13" s="232"/>
      <c r="E13" s="233" t="s">
        <v>58</v>
      </c>
      <c r="F13" s="249">
        <f>SUM(F11:F12)</f>
        <v>0</v>
      </c>
      <c r="G13" s="249">
        <f>SUM(G11:G12)</f>
        <v>0</v>
      </c>
      <c r="H13" s="249">
        <f>SUM(H11:H12)</f>
        <v>0</v>
      </c>
      <c r="I13" s="249"/>
      <c r="J13" s="249">
        <f>SUM(J12:J12)</f>
        <v>0</v>
      </c>
      <c r="K13" s="249">
        <f>SUM(K12:K12)</f>
        <v>0</v>
      </c>
      <c r="L13" s="249">
        <f>SUM(L12:L12)</f>
        <v>0</v>
      </c>
      <c r="M13" s="249"/>
      <c r="N13" s="406"/>
      <c r="O13" s="397">
        <f>+F13+G13</f>
        <v>0</v>
      </c>
      <c r="P13" s="398"/>
      <c r="Q13" s="398"/>
      <c r="R13" s="399"/>
      <c r="S13" s="399"/>
    </row>
    <row r="14" spans="1:38" s="16" customFormat="1" ht="22.5" hidden="1" thickBot="1" x14ac:dyDescent="0.25">
      <c r="A14" s="14"/>
      <c r="B14" s="14"/>
      <c r="C14" s="14"/>
      <c r="D14" s="14"/>
      <c r="E14" s="27" t="s">
        <v>59</v>
      </c>
      <c r="F14" s="31"/>
      <c r="G14" s="31"/>
      <c r="H14" s="31"/>
      <c r="I14" s="31"/>
      <c r="J14" s="31"/>
      <c r="K14" s="15"/>
      <c r="L14" s="15"/>
      <c r="M14" s="31"/>
      <c r="N14" s="407"/>
      <c r="O14" s="400"/>
      <c r="P14" s="400"/>
      <c r="Q14" s="400"/>
      <c r="R14" s="400"/>
      <c r="S14" s="400"/>
    </row>
    <row r="15" spans="1:38" s="16" customFormat="1" ht="22.5" hidden="1" thickBot="1" x14ac:dyDescent="0.25">
      <c r="A15" s="14"/>
      <c r="B15" s="14"/>
      <c r="C15" s="14"/>
      <c r="D15" s="14"/>
      <c r="E15" s="27"/>
      <c r="F15" s="31"/>
      <c r="G15" s="31"/>
      <c r="H15" s="31"/>
      <c r="I15" s="31"/>
      <c r="J15" s="31"/>
      <c r="K15" s="15"/>
      <c r="L15" s="15"/>
      <c r="M15" s="31"/>
      <c r="N15" s="407"/>
      <c r="O15" s="400"/>
      <c r="P15" s="400"/>
      <c r="Q15" s="400"/>
      <c r="R15" s="400"/>
      <c r="S15" s="400"/>
    </row>
    <row r="16" spans="1:38" s="7" customFormat="1" ht="22.5" hidden="1" thickBot="1" x14ac:dyDescent="0.25">
      <c r="A16" s="5"/>
      <c r="B16" s="5"/>
      <c r="C16" s="5"/>
      <c r="D16" s="5"/>
      <c r="E16" s="6"/>
      <c r="F16" s="8"/>
      <c r="G16" s="9"/>
      <c r="H16" s="9"/>
      <c r="I16" s="9"/>
      <c r="J16" s="9"/>
      <c r="K16" s="8"/>
      <c r="L16" s="8"/>
      <c r="M16" s="9"/>
      <c r="N16" s="393"/>
      <c r="O16" s="387"/>
      <c r="P16" s="387"/>
      <c r="Q16" s="387"/>
      <c r="R16" s="387"/>
      <c r="S16" s="387"/>
    </row>
    <row r="17" spans="1:46" s="16" customFormat="1" ht="22.5" hidden="1" thickBot="1" x14ac:dyDescent="0.55000000000000004">
      <c r="A17" s="235"/>
      <c r="B17" s="235"/>
      <c r="C17" s="235"/>
      <c r="D17" s="235"/>
      <c r="E17" s="236" t="s">
        <v>60</v>
      </c>
      <c r="F17" s="250">
        <f>SUM(F15:F16)</f>
        <v>0</v>
      </c>
      <c r="G17" s="250">
        <f>SUM(G15:G16)</f>
        <v>0</v>
      </c>
      <c r="H17" s="250">
        <f>SUM(H15:H16)</f>
        <v>0</v>
      </c>
      <c r="I17" s="250"/>
      <c r="J17" s="250">
        <f>SUM(J15:J16)</f>
        <v>0</v>
      </c>
      <c r="K17" s="250">
        <f>SUM(K15:K16)</f>
        <v>0</v>
      </c>
      <c r="L17" s="250">
        <f>SUM(L15:L16)</f>
        <v>0</v>
      </c>
      <c r="M17" s="250"/>
      <c r="N17" s="405"/>
      <c r="O17" s="402">
        <f>+F17+G17</f>
        <v>0</v>
      </c>
      <c r="P17" s="398"/>
      <c r="Q17" s="398"/>
      <c r="R17" s="400"/>
      <c r="S17" s="400"/>
    </row>
    <row r="18" spans="1:46" s="25" customFormat="1" ht="22.5" thickBot="1" x14ac:dyDescent="0.55000000000000004">
      <c r="A18" s="238">
        <f>+A13+A17</f>
        <v>0</v>
      </c>
      <c r="B18" s="239"/>
      <c r="C18" s="239"/>
      <c r="D18" s="239"/>
      <c r="E18" s="239" t="s">
        <v>489</v>
      </c>
      <c r="F18" s="251">
        <f>F13+F17</f>
        <v>0</v>
      </c>
      <c r="G18" s="240">
        <f>+G13+G17</f>
        <v>0</v>
      </c>
      <c r="H18" s="240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240"/>
      <c r="N18" s="408"/>
      <c r="O18" s="386">
        <f>+O13+O17</f>
        <v>0</v>
      </c>
      <c r="P18" s="403"/>
      <c r="Q18" s="403"/>
      <c r="R18" s="384"/>
      <c r="S18" s="384"/>
      <c r="T18" s="2"/>
      <c r="U18" s="2"/>
      <c r="V18" s="2"/>
      <c r="W18" s="2"/>
      <c r="X18" s="2"/>
      <c r="Y18" s="2"/>
      <c r="Z18" s="2"/>
      <c r="AA18" s="2"/>
    </row>
    <row r="19" spans="1:46" s="7" customFormat="1" x14ac:dyDescent="0.2">
      <c r="A19" s="13"/>
      <c r="B19" s="13"/>
      <c r="C19" s="13"/>
      <c r="D19" s="13"/>
      <c r="E19" s="28"/>
      <c r="F19" s="99"/>
      <c r="G19" s="17"/>
      <c r="H19" s="17"/>
      <c r="I19" s="17"/>
      <c r="J19" s="17"/>
      <c r="K19" s="99"/>
      <c r="L19" s="99"/>
      <c r="M19" s="17"/>
      <c r="N19" s="393"/>
      <c r="O19" s="387"/>
      <c r="P19" s="387"/>
      <c r="Q19" s="387"/>
      <c r="R19" s="387"/>
      <c r="S19" s="387"/>
    </row>
    <row r="20" spans="1:46" s="7" customFormat="1" x14ac:dyDescent="0.5">
      <c r="A20" s="13"/>
      <c r="B20" s="13"/>
      <c r="C20" s="13"/>
      <c r="D20" s="13"/>
      <c r="E20" s="28"/>
      <c r="F20" s="252"/>
      <c r="G20" s="17"/>
      <c r="H20" s="17"/>
      <c r="I20" s="17"/>
      <c r="J20" s="17"/>
      <c r="K20" s="99"/>
      <c r="L20" s="99"/>
      <c r="M20" s="17"/>
      <c r="N20" s="393"/>
      <c r="O20" s="387"/>
      <c r="P20" s="387"/>
      <c r="Q20" s="387"/>
      <c r="R20" s="387"/>
      <c r="S20" s="387"/>
    </row>
    <row r="22" spans="1:46" s="20" customFormat="1" ht="22.5" thickBot="1" x14ac:dyDescent="0.55000000000000004">
      <c r="A22" s="19"/>
      <c r="B22" s="19"/>
      <c r="C22" s="19"/>
      <c r="D22" s="19"/>
      <c r="E22" s="77" t="s">
        <v>64</v>
      </c>
      <c r="F22" s="253"/>
      <c r="G22" s="229"/>
      <c r="H22" s="119"/>
      <c r="I22" s="119"/>
      <c r="J22" s="119"/>
      <c r="K22" s="183"/>
      <c r="L22" s="183"/>
      <c r="M22" s="119"/>
      <c r="N22" s="391"/>
      <c r="O22" s="384"/>
      <c r="P22" s="384"/>
      <c r="Q22" s="384"/>
      <c r="R22" s="384"/>
      <c r="S22" s="384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s="20" customFormat="1" ht="22.5" thickTop="1" x14ac:dyDescent="0.5">
      <c r="A23" s="19"/>
      <c r="B23" s="19"/>
      <c r="C23" s="19"/>
      <c r="D23" s="19"/>
      <c r="E23" s="20" t="s">
        <v>65</v>
      </c>
      <c r="F23" s="254"/>
      <c r="G23" s="102"/>
      <c r="H23" s="102"/>
      <c r="I23" s="102"/>
      <c r="J23" s="102"/>
      <c r="K23" s="183"/>
      <c r="L23" s="183"/>
      <c r="M23" s="102"/>
      <c r="N23" s="391"/>
      <c r="O23" s="384"/>
      <c r="P23" s="384"/>
      <c r="Q23" s="384"/>
      <c r="R23" s="384"/>
      <c r="S23" s="384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s="20" customFormat="1" x14ac:dyDescent="0.5">
      <c r="A24" s="19"/>
      <c r="B24" s="19"/>
      <c r="C24" s="19"/>
      <c r="D24" s="19"/>
      <c r="E24" s="20" t="s">
        <v>66</v>
      </c>
      <c r="F24" s="254"/>
      <c r="G24" s="102"/>
      <c r="H24" s="102"/>
      <c r="I24" s="102"/>
      <c r="J24" s="102"/>
      <c r="K24" s="183"/>
      <c r="L24" s="183"/>
      <c r="M24" s="102"/>
      <c r="N24" s="391"/>
      <c r="O24" s="384"/>
      <c r="P24" s="384"/>
      <c r="Q24" s="384"/>
      <c r="R24" s="384"/>
      <c r="S24" s="384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s="20" customFormat="1" x14ac:dyDescent="0.5">
      <c r="A25" s="19"/>
      <c r="B25" s="19"/>
      <c r="C25" s="19"/>
      <c r="D25" s="19"/>
      <c r="E25" s="20" t="s">
        <v>67</v>
      </c>
      <c r="F25" s="254"/>
      <c r="G25" s="102"/>
      <c r="H25" s="102"/>
      <c r="I25" s="102"/>
      <c r="J25" s="102"/>
      <c r="K25" s="183"/>
      <c r="L25" s="183"/>
      <c r="M25" s="102"/>
      <c r="N25" s="391"/>
      <c r="O25" s="384"/>
      <c r="P25" s="384"/>
      <c r="Q25" s="384"/>
      <c r="R25" s="384"/>
      <c r="S25" s="384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</sheetData>
  <autoFilter ref="N1:N25"/>
  <mergeCells count="20">
    <mergeCell ref="F4:G4"/>
    <mergeCell ref="M5:M8"/>
    <mergeCell ref="A1:M1"/>
    <mergeCell ref="A2:M2"/>
    <mergeCell ref="A3:M3"/>
    <mergeCell ref="A5:A8"/>
    <mergeCell ref="I5:I8"/>
    <mergeCell ref="F5:H5"/>
    <mergeCell ref="H6:H8"/>
    <mergeCell ref="J5:J8"/>
    <mergeCell ref="K5:K8"/>
    <mergeCell ref="Q5:Q8"/>
    <mergeCell ref="B5:B8"/>
    <mergeCell ref="C5:C8"/>
    <mergeCell ref="D5:D8"/>
    <mergeCell ref="E5:E8"/>
    <mergeCell ref="P5:P8"/>
    <mergeCell ref="L5:L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  <rowBreaks count="1" manualBreakCount="1">
    <brk id="2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2"/>
  <sheetViews>
    <sheetView topLeftCell="A16"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4" width="6.85546875" style="486" customWidth="1"/>
    <col min="5" max="5" width="44.42578125" style="460" bestFit="1" customWidth="1"/>
    <col min="6" max="6" width="13.85546875" style="487" bestFit="1" customWidth="1"/>
    <col min="7" max="7" width="13.140625" style="488" customWidth="1"/>
    <col min="8" max="8" width="13.140625" style="488" hidden="1" customWidth="1"/>
    <col min="9" max="9" width="25.140625" style="488" customWidth="1"/>
    <col min="10" max="10" width="13.140625" style="488" hidden="1" customWidth="1"/>
    <col min="11" max="11" width="12.140625" style="464" hidden="1" customWidth="1"/>
    <col min="12" max="12" width="19.42578125" style="464" hidden="1" customWidth="1"/>
    <col min="13" max="13" width="26.7109375" style="488" customWidth="1"/>
    <col min="14" max="14" width="5.85546875" style="610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2.42578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3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3"/>
      <c r="O2" s="402" t="s">
        <v>69</v>
      </c>
      <c r="P2" s="399">
        <v>12</v>
      </c>
      <c r="Q2" s="397" t="e">
        <f>+F11+F12+#REF!+#REF!+F13+#REF!+#REF!+F14+F15+F16+F17+#REF!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3"/>
      <c r="O3" s="400" t="s">
        <v>72</v>
      </c>
      <c r="P3" s="461">
        <v>1</v>
      </c>
      <c r="Q3" s="462" t="e">
        <f>+#REF!</f>
        <v>#REF!</v>
      </c>
      <c r="R3" s="463">
        <v>2</v>
      </c>
      <c r="S3" s="462">
        <f>+F21+F22</f>
        <v>7010000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1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1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1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15"/>
      <c r="P8" s="642"/>
      <c r="Q8" s="642"/>
    </row>
    <row r="9" spans="1:38" x14ac:dyDescent="0.5">
      <c r="A9" s="10"/>
      <c r="B9" s="10"/>
      <c r="C9" s="10"/>
      <c r="D9" s="10"/>
      <c r="E9" s="29" t="s">
        <v>32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17"/>
      <c r="O10" s="400"/>
      <c r="P10" s="400"/>
      <c r="Q10" s="400"/>
      <c r="R10" s="400"/>
      <c r="S10" s="400"/>
    </row>
    <row r="11" spans="1:38" s="16" customFormat="1" ht="65.25" x14ac:dyDescent="0.2">
      <c r="A11" s="261">
        <v>1</v>
      </c>
      <c r="B11" s="261"/>
      <c r="C11" s="554" t="s">
        <v>490</v>
      </c>
      <c r="D11" s="261" t="s">
        <v>32</v>
      </c>
      <c r="E11" s="555" t="s">
        <v>491</v>
      </c>
      <c r="F11" s="534">
        <v>72000</v>
      </c>
      <c r="G11" s="281"/>
      <c r="H11" s="281"/>
      <c r="I11" s="508" t="str">
        <f>+[27]กมค.!I11</f>
        <v xml:space="preserve">  กม. ขอรับความเห็นชอบ จาก ผบก. </v>
      </c>
      <c r="J11" s="497"/>
      <c r="K11" s="497"/>
      <c r="L11" s="497"/>
      <c r="M11" s="508" t="str">
        <f>+[27]กมค.!M11</f>
        <v> กม. ขออนุมัติจัดซื้อจาก ผบก.  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x14ac:dyDescent="0.2">
      <c r="A12" s="261">
        <v>2</v>
      </c>
      <c r="B12" s="261"/>
      <c r="C12" s="554" t="s">
        <v>490</v>
      </c>
      <c r="D12" s="261" t="s">
        <v>32</v>
      </c>
      <c r="E12" s="555" t="s">
        <v>492</v>
      </c>
      <c r="F12" s="534">
        <v>90000</v>
      </c>
      <c r="G12" s="281"/>
      <c r="H12" s="281"/>
      <c r="I12" s="508" t="str">
        <f>+[27]กมค.!I12</f>
        <v>อฎ. ส่งของแล้ว </v>
      </c>
      <c r="J12" s="497"/>
      <c r="K12" s="497"/>
      <c r="L12" s="497"/>
      <c r="M12" s="508" t="str">
        <f>+[27]กมค.!M12</f>
        <v> อฎ. รอเบิกจ่าย เนื่องจากรอรหัสกิจกรรมย่อย (ก.การใช้เทคโนโลยี)   </v>
      </c>
      <c r="N12" s="407">
        <v>1</v>
      </c>
      <c r="O12" s="400"/>
      <c r="P12" s="400"/>
      <c r="Q12" s="400"/>
      <c r="R12" s="400"/>
      <c r="S12" s="400"/>
    </row>
    <row r="13" spans="1:38" s="16" customFormat="1" ht="65.25" x14ac:dyDescent="0.2">
      <c r="A13" s="261">
        <v>3</v>
      </c>
      <c r="B13" s="261"/>
      <c r="C13" s="554" t="s">
        <v>490</v>
      </c>
      <c r="D13" s="261" t="s">
        <v>32</v>
      </c>
      <c r="E13" s="555" t="s">
        <v>493</v>
      </c>
      <c r="F13" s="534">
        <v>592000</v>
      </c>
      <c r="G13" s="281"/>
      <c r="H13" s="281"/>
      <c r="I13" s="508" t="str">
        <f>+[27]กมค.!I13</f>
        <v>สบส. ลงนามอนุมัติจัดซื้อ วันที่ 7 พ.ย.58 ส่งมอบของภายใน 60 วัน</v>
      </c>
      <c r="J13" s="497"/>
      <c r="K13" s="497"/>
      <c r="L13" s="497"/>
      <c r="M13" s="508" t="str">
        <f>+[27]กมค.!M13</f>
        <v>สบส. ลงนามอนุมัติจัดซื้อ วันที่ 7 พ.ย.58 ส่งมอบของภายใน 60 วัน</v>
      </c>
      <c r="N13" s="407">
        <v>1</v>
      </c>
      <c r="O13" s="400"/>
      <c r="P13" s="400"/>
      <c r="Q13" s="400"/>
      <c r="R13" s="400"/>
      <c r="S13" s="400"/>
    </row>
    <row r="14" spans="1:38" s="16" customFormat="1" ht="130.5" x14ac:dyDescent="0.2">
      <c r="A14" s="261">
        <v>4</v>
      </c>
      <c r="B14" s="261"/>
      <c r="C14" s="554" t="s">
        <v>176</v>
      </c>
      <c r="D14" s="261" t="s">
        <v>32</v>
      </c>
      <c r="E14" s="555" t="s">
        <v>494</v>
      </c>
      <c r="F14" s="534">
        <v>570000</v>
      </c>
      <c r="G14" s="281"/>
      <c r="H14" s="281"/>
      <c r="I14" s="508" t="str">
        <f>+[27]กมค.!I14</f>
        <v>  1. กม. ขอรับความเห็นชอบ จาก ผบก.    2. คพ. ผบก. ลงนามอนุมัติจัดซื้อ วันที่ 5 พ.ย.58                                          3. อฎ. ส่งมอบของแล้ว   </v>
      </c>
      <c r="J14" s="497"/>
      <c r="K14" s="497"/>
      <c r="L14" s="497"/>
      <c r="M14" s="508" t="str">
        <f>+[27]กมค.!M14</f>
        <v>1. กม. ขออนุมัติจัดซื้อ จาก ผบก. 
2. คพ.  ส่งมอบของแล้ว อยู่ระหว่างทำ PO  
3. อฎ.  รอเบิกจ่าย เนื่องจากรอรหัสกิจกรรมย่อย (ก.การใช้เทคโนโลยี)               </v>
      </c>
      <c r="N14" s="407">
        <v>1</v>
      </c>
      <c r="O14" s="400"/>
      <c r="P14" s="400"/>
      <c r="Q14" s="400"/>
      <c r="R14" s="400"/>
      <c r="S14" s="400"/>
    </row>
    <row r="15" spans="1:38" s="16" customFormat="1" ht="87" x14ac:dyDescent="0.2">
      <c r="A15" s="261">
        <v>5</v>
      </c>
      <c r="B15" s="261"/>
      <c r="C15" s="554" t="s">
        <v>176</v>
      </c>
      <c r="D15" s="261" t="s">
        <v>32</v>
      </c>
      <c r="E15" s="555" t="s">
        <v>495</v>
      </c>
      <c r="F15" s="534">
        <v>21000</v>
      </c>
      <c r="G15" s="281"/>
      <c r="H15" s="281"/>
      <c r="I15" s="508" t="str">
        <f>+[27]กมค.!I15</f>
        <v>ขอรับความเห็นชอบ จาก ผบก. (คด.)</v>
      </c>
      <c r="J15" s="497"/>
      <c r="K15" s="497"/>
      <c r="L15" s="497"/>
      <c r="M15" s="508" t="str">
        <f>+[27]กมค.!M15</f>
        <v>คด. ส่งของเรียบร้อยแล้ว อยู่ระหว่าง      การเบิกจ่าย เนื่องจากรอหรัสกิจกรรมย่อย   (ก. การใช้เทคโนโลยี)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554" t="s">
        <v>176</v>
      </c>
      <c r="D16" s="261" t="s">
        <v>32</v>
      </c>
      <c r="E16" s="555" t="s">
        <v>496</v>
      </c>
      <c r="F16" s="534">
        <v>17000</v>
      </c>
      <c r="G16" s="281"/>
      <c r="H16" s="281"/>
      <c r="I16" s="508" t="str">
        <f>+[27]กมค.!I16</f>
        <v>สบส. ลงนามทำสัญญาแล้ว วันที่ 30 ต.ค.58 ส่งของวันที่ 30 พ.ย.58</v>
      </c>
      <c r="J16" s="497"/>
      <c r="K16" s="497"/>
      <c r="L16" s="497"/>
      <c r="M16" s="508" t="str">
        <f>+[27]กมค.!M16</f>
        <v>สบส. ลงนามทำสัญญาแล้ว วันที่ 30 ต.ค.58 ส่งของวันที่ 30 พ.ย.58</v>
      </c>
      <c r="N16" s="407">
        <v>1</v>
      </c>
      <c r="O16" s="400"/>
      <c r="P16" s="400"/>
      <c r="Q16" s="400"/>
      <c r="R16" s="400"/>
      <c r="S16" s="400"/>
    </row>
    <row r="17" spans="1:46" s="16" customFormat="1" ht="65.25" x14ac:dyDescent="0.2">
      <c r="A17" s="261">
        <v>7</v>
      </c>
      <c r="B17" s="261"/>
      <c r="C17" s="554" t="s">
        <v>176</v>
      </c>
      <c r="D17" s="261" t="s">
        <v>32</v>
      </c>
      <c r="E17" s="555" t="s">
        <v>497</v>
      </c>
      <c r="F17" s="534">
        <v>19800</v>
      </c>
      <c r="G17" s="281"/>
      <c r="H17" s="281"/>
      <c r="I17" s="508" t="str">
        <f>+[27]กมค.!I17</f>
        <v> อฎ. ส่งมอบของแล้ว  </v>
      </c>
      <c r="J17" s="497"/>
      <c r="K17" s="497"/>
      <c r="L17" s="497"/>
      <c r="M17" s="508" t="str">
        <f>+[27]กมค.!M17</f>
        <v>อฎ.  รอเบิกจ่าย เนื่องจากรอรหัสกิจกรรมย่อย (ก.การใช้เทคโนโลยี)         </v>
      </c>
      <c r="N17" s="407">
        <v>1</v>
      </c>
      <c r="O17" s="400"/>
      <c r="P17" s="400"/>
      <c r="Q17" s="400"/>
      <c r="R17" s="400"/>
      <c r="S17" s="400"/>
    </row>
    <row r="18" spans="1:46" s="16" customFormat="1" x14ac:dyDescent="0.2">
      <c r="A18" s="14"/>
      <c r="B18" s="476"/>
      <c r="C18" s="476"/>
      <c r="D18" s="476"/>
      <c r="E18" s="477"/>
      <c r="F18" s="611"/>
      <c r="G18" s="30"/>
      <c r="H18" s="30"/>
      <c r="I18" s="31"/>
      <c r="J18" s="31"/>
      <c r="K18" s="15"/>
      <c r="L18" s="15"/>
      <c r="M18" s="31"/>
      <c r="N18" s="417"/>
      <c r="O18" s="400"/>
      <c r="P18" s="400"/>
      <c r="Q18" s="400"/>
      <c r="R18" s="400"/>
      <c r="S18" s="400"/>
    </row>
    <row r="19" spans="1:46" s="12" customFormat="1" x14ac:dyDescent="0.5">
      <c r="A19" s="232">
        <f>+A17</f>
        <v>7</v>
      </c>
      <c r="B19" s="232"/>
      <c r="C19" s="232"/>
      <c r="D19" s="232"/>
      <c r="E19" s="233" t="s">
        <v>58</v>
      </c>
      <c r="F19" s="297">
        <f>SUM(F11:F18)</f>
        <v>1381800</v>
      </c>
      <c r="G19" s="234">
        <f>SUM(G14:G18)</f>
        <v>0</v>
      </c>
      <c r="H19" s="234">
        <f>SUM(H14:H18)</f>
        <v>0</v>
      </c>
      <c r="I19" s="249"/>
      <c r="J19" s="249">
        <f>SUM(J18:J18)</f>
        <v>0</v>
      </c>
      <c r="K19" s="249">
        <f>SUM(K18:K18)</f>
        <v>0</v>
      </c>
      <c r="L19" s="249">
        <f>SUM(L18:L18)</f>
        <v>0</v>
      </c>
      <c r="M19" s="249"/>
      <c r="N19" s="416"/>
      <c r="O19" s="397">
        <f>+F19+G19</f>
        <v>1381800</v>
      </c>
      <c r="P19" s="398"/>
      <c r="Q19" s="398"/>
      <c r="R19" s="399"/>
      <c r="S19" s="399"/>
    </row>
    <row r="20" spans="1:46" s="16" customFormat="1" x14ac:dyDescent="0.2">
      <c r="A20" s="14" t="s">
        <v>435</v>
      </c>
      <c r="B20" s="14"/>
      <c r="C20" s="14"/>
      <c r="D20" s="14"/>
      <c r="E20" s="27" t="s">
        <v>59</v>
      </c>
      <c r="F20" s="31"/>
      <c r="G20" s="31"/>
      <c r="H20" s="31"/>
      <c r="I20" s="31"/>
      <c r="J20" s="31"/>
      <c r="K20" s="15"/>
      <c r="L20" s="15"/>
      <c r="M20" s="31"/>
      <c r="N20" s="417"/>
      <c r="O20" s="400"/>
      <c r="P20" s="400"/>
      <c r="Q20" s="400"/>
      <c r="R20" s="400"/>
      <c r="S20" s="400"/>
    </row>
    <row r="21" spans="1:46" s="284" customFormat="1" ht="65.25" x14ac:dyDescent="0.2">
      <c r="A21" s="425">
        <v>1</v>
      </c>
      <c r="B21" s="425"/>
      <c r="C21" s="557" t="s">
        <v>490</v>
      </c>
      <c r="D21" s="425"/>
      <c r="E21" s="525" t="s">
        <v>498</v>
      </c>
      <c r="F21" s="526">
        <v>4511000</v>
      </c>
      <c r="G21" s="428"/>
      <c r="H21" s="428"/>
      <c r="I21" s="505" t="str">
        <f>+[27]กมค.!I21</f>
        <v xml:space="preserve">สบส. อยู่ระหว่างร่างประกาศประกวดราคา </v>
      </c>
      <c r="J21" s="538"/>
      <c r="K21" s="538"/>
      <c r="L21" s="538"/>
      <c r="M21" s="505" t="str">
        <f>+[27]กมค.!M21</f>
        <v>  สบส. อยู่ระหว่างการขอเปลี่ยนแปลงรูปแบบสนามฟุตบอลฯ ต่อสำนักงบประมาณ  </v>
      </c>
      <c r="N21" s="410">
        <v>2</v>
      </c>
      <c r="O21" s="401"/>
      <c r="P21" s="401"/>
      <c r="Q21" s="401"/>
      <c r="R21" s="401"/>
      <c r="S21" s="401"/>
    </row>
    <row r="22" spans="1:46" s="284" customFormat="1" ht="70.5" customHeight="1" x14ac:dyDescent="0.2">
      <c r="A22" s="425">
        <v>2</v>
      </c>
      <c r="B22" s="425"/>
      <c r="C22" s="557" t="s">
        <v>490</v>
      </c>
      <c r="D22" s="425"/>
      <c r="E22" s="525" t="s">
        <v>499</v>
      </c>
      <c r="F22" s="526">
        <v>2499000</v>
      </c>
      <c r="G22" s="428"/>
      <c r="H22" s="428"/>
      <c r="I22" s="505" t="str">
        <f>+[27]กมค.!I22</f>
        <v xml:space="preserve"> สบส. ลง ประกาศวันที่ 23 พ.ย.58 </v>
      </c>
      <c r="J22" s="538"/>
      <c r="K22" s="538"/>
      <c r="L22" s="538"/>
      <c r="M22" s="505" t="str">
        <f>+[27]กมค.!M22</f>
        <v>    สบส. ประกาศในระบบ E-bidding อยู่ระหว่างขอรับแบบ    </v>
      </c>
      <c r="N22" s="410">
        <v>2</v>
      </c>
      <c r="O22" s="401"/>
      <c r="P22" s="401"/>
      <c r="Q22" s="401"/>
      <c r="R22" s="401"/>
      <c r="S22" s="401"/>
    </row>
    <row r="23" spans="1:46" s="16" customFormat="1" x14ac:dyDescent="0.2">
      <c r="A23" s="14"/>
      <c r="B23" s="14"/>
      <c r="C23" s="14"/>
      <c r="D23" s="14"/>
      <c r="E23" s="477"/>
      <c r="F23" s="501"/>
      <c r="G23" s="30"/>
      <c r="H23" s="30"/>
      <c r="I23" s="31"/>
      <c r="J23" s="31"/>
      <c r="K23" s="15"/>
      <c r="L23" s="15"/>
      <c r="M23" s="31"/>
      <c r="N23" s="417"/>
      <c r="O23" s="400"/>
      <c r="P23" s="400"/>
      <c r="Q23" s="400"/>
      <c r="R23" s="400"/>
      <c r="S23" s="400"/>
    </row>
    <row r="24" spans="1:46" s="16" customFormat="1" ht="22.5" thickBot="1" x14ac:dyDescent="0.55000000000000004">
      <c r="A24" s="235">
        <f>+A22</f>
        <v>2</v>
      </c>
      <c r="B24" s="235"/>
      <c r="C24" s="235"/>
      <c r="D24" s="235"/>
      <c r="E24" s="236" t="s">
        <v>60</v>
      </c>
      <c r="F24" s="298">
        <f>SUM(F21:F23)</f>
        <v>7010000</v>
      </c>
      <c r="G24" s="237">
        <f>SUM(G21:G23)</f>
        <v>0</v>
      </c>
      <c r="H24" s="237">
        <f>SUM(H21:H23)</f>
        <v>0</v>
      </c>
      <c r="I24" s="250"/>
      <c r="J24" s="250">
        <f>SUM(J21:J23)</f>
        <v>0</v>
      </c>
      <c r="K24" s="250">
        <f>SUM(K21:K23)</f>
        <v>0</v>
      </c>
      <c r="L24" s="250">
        <f>SUM(L21:L23)</f>
        <v>0</v>
      </c>
      <c r="M24" s="250"/>
      <c r="N24" s="415"/>
      <c r="O24" s="402">
        <f>+F24+G24</f>
        <v>7010000</v>
      </c>
      <c r="P24" s="398"/>
      <c r="Q24" s="398"/>
      <c r="R24" s="400"/>
      <c r="S24" s="400"/>
    </row>
    <row r="25" spans="1:46" s="480" customFormat="1" ht="22.5" thickBot="1" x14ac:dyDescent="0.55000000000000004">
      <c r="A25" s="238">
        <f>+A19+A24</f>
        <v>9</v>
      </c>
      <c r="B25" s="239"/>
      <c r="C25" s="239"/>
      <c r="D25" s="239"/>
      <c r="E25" s="239" t="s">
        <v>500</v>
      </c>
      <c r="F25" s="299">
        <f>F19+F24</f>
        <v>8391800</v>
      </c>
      <c r="G25" s="289">
        <f>+G19+G24</f>
        <v>0</v>
      </c>
      <c r="H25" s="289">
        <f>+H19+H24</f>
        <v>0</v>
      </c>
      <c r="I25" s="240"/>
      <c r="J25" s="240">
        <f>J19+J24</f>
        <v>0</v>
      </c>
      <c r="K25" s="240">
        <f>K19+K24</f>
        <v>0</v>
      </c>
      <c r="L25" s="240">
        <f>L19+L24</f>
        <v>0</v>
      </c>
      <c r="M25" s="240"/>
      <c r="N25" s="418"/>
      <c r="O25" s="397">
        <f>+O19+O24</f>
        <v>8391800</v>
      </c>
      <c r="P25" s="479"/>
      <c r="Q25" s="479"/>
      <c r="R25" s="399"/>
      <c r="S25" s="399"/>
      <c r="T25" s="12"/>
      <c r="U25" s="12"/>
      <c r="V25" s="12"/>
      <c r="W25" s="12"/>
      <c r="X25" s="12"/>
      <c r="Y25" s="12"/>
      <c r="Z25" s="12"/>
      <c r="AA25" s="12"/>
    </row>
    <row r="26" spans="1:46" s="16" customFormat="1" x14ac:dyDescent="0.2">
      <c r="A26" s="481"/>
      <c r="B26" s="481"/>
      <c r="C26" s="481"/>
      <c r="D26" s="481"/>
      <c r="E26" s="482"/>
      <c r="F26" s="376"/>
      <c r="G26" s="375"/>
      <c r="H26" s="375"/>
      <c r="I26" s="375"/>
      <c r="J26" s="375"/>
      <c r="K26" s="376"/>
      <c r="L26" s="376"/>
      <c r="M26" s="375"/>
      <c r="N26" s="417"/>
      <c r="O26" s="400"/>
      <c r="P26" s="400"/>
      <c r="Q26" s="400"/>
      <c r="R26" s="400"/>
      <c r="S26" s="400"/>
    </row>
    <row r="27" spans="1:46" s="16" customFormat="1" x14ac:dyDescent="0.5">
      <c r="A27" s="481"/>
      <c r="B27" s="481"/>
      <c r="C27" s="481"/>
      <c r="D27" s="481"/>
      <c r="E27" s="482"/>
      <c r="F27" s="252"/>
      <c r="G27" s="375"/>
      <c r="H27" s="375"/>
      <c r="I27" s="375"/>
      <c r="J27" s="375"/>
      <c r="K27" s="376"/>
      <c r="L27" s="376"/>
      <c r="M27" s="375"/>
      <c r="N27" s="417"/>
      <c r="O27" s="400"/>
      <c r="P27" s="400"/>
      <c r="Q27" s="400"/>
      <c r="R27" s="400"/>
      <c r="S27" s="400"/>
    </row>
    <row r="29" spans="1:46" s="77" customFormat="1" x14ac:dyDescent="0.5">
      <c r="A29" s="483"/>
      <c r="B29" s="483"/>
      <c r="C29" s="483"/>
      <c r="D29" s="483"/>
      <c r="F29" s="262"/>
      <c r="G29" s="119"/>
      <c r="H29" s="119"/>
      <c r="I29" s="119"/>
      <c r="J29" s="119"/>
      <c r="K29" s="484"/>
      <c r="L29" s="484"/>
      <c r="M29" s="119"/>
      <c r="N29" s="610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F30" s="262"/>
      <c r="G30" s="119"/>
      <c r="H30" s="119"/>
      <c r="I30" s="119"/>
      <c r="J30" s="119"/>
      <c r="K30" s="484"/>
      <c r="L30" s="484"/>
      <c r="M30" s="119"/>
      <c r="N30" s="610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x14ac:dyDescent="0.5">
      <c r="A31" s="483"/>
      <c r="B31" s="483"/>
      <c r="C31" s="483"/>
      <c r="D31" s="483"/>
      <c r="F31" s="262"/>
      <c r="G31" s="119"/>
      <c r="H31" s="119"/>
      <c r="I31" s="119"/>
      <c r="J31" s="119"/>
      <c r="K31" s="484"/>
      <c r="L31" s="484"/>
      <c r="M31" s="119"/>
      <c r="N31" s="610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F32" s="262"/>
      <c r="G32" s="119"/>
      <c r="H32" s="119"/>
      <c r="I32" s="119"/>
      <c r="J32" s="119"/>
      <c r="K32" s="484"/>
      <c r="L32" s="484"/>
      <c r="M32" s="119"/>
      <c r="N32" s="610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</sheetData>
  <autoFilter ref="N1:N32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conditionalFormatting sqref="F21:F22 F11:F17">
    <cfRule type="cellIs" dxfId="3" priority="1" stopIfTrue="1" operator="between">
      <formula>2000001</formula>
      <formula>500000000</formula>
    </cfRule>
  </conditionalFormatting>
  <pageMargins left="0.70866141732283472" right="0.70866141732283472" top="0.31496062992125984" bottom="0.23622047244094491" header="0.15748031496062992" footer="0.15748031496062992"/>
  <pageSetup paperSize="9" scale="89" orientation="landscape" blackAndWhite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3" customWidth="1"/>
    <col min="2" max="4" width="6.85546875" style="3" customWidth="1"/>
    <col min="5" max="5" width="42.42578125" style="1" bestFit="1" customWidth="1"/>
    <col min="6" max="6" width="14.5703125" style="255" customWidth="1"/>
    <col min="7" max="7" width="13.5703125" style="101" customWidth="1"/>
    <col min="8" max="8" width="2.140625" style="101" hidden="1" customWidth="1"/>
    <col min="9" max="9" width="27.140625" style="101" customWidth="1"/>
    <col min="10" max="10" width="13.140625" style="101" hidden="1" customWidth="1"/>
    <col min="11" max="11" width="12.140625" style="150" hidden="1" customWidth="1"/>
    <col min="12" max="12" width="15.5703125" style="150" hidden="1" customWidth="1"/>
    <col min="13" max="13" width="27.140625" style="101" customWidth="1"/>
    <col min="14" max="14" width="4.140625" style="414" customWidth="1"/>
    <col min="15" max="15" width="19.5703125" style="384" bestFit="1" customWidth="1"/>
    <col min="16" max="16" width="9.140625" style="384"/>
    <col min="17" max="17" width="11" style="384" bestFit="1" customWidth="1"/>
    <col min="18" max="19" width="9.140625" style="384"/>
    <col min="20" max="27" width="9.140625" style="2"/>
    <col min="28" max="16384" width="9.140625" style="1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9"/>
      <c r="Q1" s="384" t="s">
        <v>68</v>
      </c>
      <c r="S1" s="384" t="s">
        <v>63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9"/>
      <c r="O2" s="385" t="s">
        <v>69</v>
      </c>
      <c r="P2" s="384">
        <v>4</v>
      </c>
      <c r="Q2" s="386">
        <f>SUM(F11:F14)</f>
        <v>0</v>
      </c>
      <c r="R2" s="386" t="s">
        <v>70</v>
      </c>
      <c r="S2" s="384" t="s">
        <v>70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9"/>
      <c r="O3" s="387" t="s">
        <v>72</v>
      </c>
      <c r="P3" s="388" t="s">
        <v>70</v>
      </c>
      <c r="Q3" s="389" t="s">
        <v>70</v>
      </c>
      <c r="R3" s="390" t="s">
        <v>70</v>
      </c>
      <c r="S3" s="389" t="s">
        <v>70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671"/>
      <c r="G4" s="671"/>
      <c r="H4" s="444"/>
      <c r="I4" s="444"/>
      <c r="J4" s="444"/>
      <c r="M4" s="444"/>
      <c r="O4" s="384" t="s">
        <v>73</v>
      </c>
      <c r="P4" s="392" t="s">
        <v>70</v>
      </c>
      <c r="Q4" s="392" t="s">
        <v>70</v>
      </c>
      <c r="R4" s="384" t="s">
        <v>70</v>
      </c>
      <c r="S4" s="384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15"/>
      <c r="P5" s="670" t="s">
        <v>53</v>
      </c>
      <c r="Q5" s="670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15"/>
      <c r="P6" s="670"/>
      <c r="Q6" s="670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15"/>
      <c r="P7" s="670"/>
      <c r="Q7" s="670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15"/>
      <c r="P8" s="670"/>
      <c r="Q8" s="670"/>
    </row>
    <row r="9" spans="1:38" x14ac:dyDescent="0.5">
      <c r="A9" s="10"/>
      <c r="B9" s="10"/>
      <c r="C9" s="10"/>
      <c r="D9" s="10"/>
      <c r="E9" s="29" t="s">
        <v>33</v>
      </c>
      <c r="F9" s="247"/>
      <c r="G9" s="100"/>
      <c r="H9" s="100"/>
      <c r="I9" s="100"/>
      <c r="J9" s="100"/>
      <c r="K9" s="182"/>
      <c r="L9" s="182"/>
      <c r="M9" s="100"/>
    </row>
    <row r="10" spans="1:38" s="7" customFormat="1" x14ac:dyDescent="0.2">
      <c r="A10" s="5"/>
      <c r="B10" s="5"/>
      <c r="C10" s="5"/>
      <c r="D10" s="5"/>
      <c r="E10" s="14" t="s">
        <v>2</v>
      </c>
      <c r="F10" s="9"/>
      <c r="G10" s="9"/>
      <c r="H10" s="9"/>
      <c r="I10" s="9"/>
      <c r="J10" s="9"/>
      <c r="K10" s="8"/>
      <c r="L10" s="8"/>
      <c r="M10" s="9"/>
      <c r="N10" s="394"/>
      <c r="O10" s="387"/>
      <c r="P10" s="387"/>
      <c r="Q10" s="387"/>
      <c r="R10" s="387"/>
      <c r="S10" s="387"/>
    </row>
    <row r="11" spans="1:38" s="7" customFormat="1" ht="44.25" customHeight="1" x14ac:dyDescent="0.2">
      <c r="A11" s="259"/>
      <c r="B11" s="259"/>
      <c r="C11" s="259"/>
      <c r="D11" s="259"/>
      <c r="E11" s="296"/>
      <c r="F11" s="319"/>
      <c r="G11" s="319"/>
      <c r="H11" s="319"/>
      <c r="I11" s="258">
        <f>+[28]สง.ก.ตร.!I11</f>
        <v>0</v>
      </c>
      <c r="J11" s="292"/>
      <c r="K11" s="291"/>
      <c r="L11" s="291"/>
      <c r="M11" s="258">
        <f>+[28]สง.ก.ตร.!M11</f>
        <v>0</v>
      </c>
      <c r="N11" s="412">
        <v>1</v>
      </c>
      <c r="O11" s="387"/>
      <c r="P11" s="387"/>
      <c r="Q11" s="387"/>
      <c r="R11" s="387"/>
      <c r="S11" s="387"/>
    </row>
    <row r="12" spans="1:38" s="7" customFormat="1" ht="44.25" customHeight="1" x14ac:dyDescent="0.2">
      <c r="A12" s="259"/>
      <c r="B12" s="259"/>
      <c r="C12" s="259"/>
      <c r="D12" s="259"/>
      <c r="E12" s="296"/>
      <c r="F12" s="319"/>
      <c r="G12" s="319"/>
      <c r="H12" s="319"/>
      <c r="I12" s="258">
        <f>+[28]สง.ก.ตร.!I12</f>
        <v>0</v>
      </c>
      <c r="J12" s="292"/>
      <c r="K12" s="291"/>
      <c r="L12" s="291"/>
      <c r="M12" s="258">
        <f>+[28]สง.ก.ตร.!M12</f>
        <v>0</v>
      </c>
      <c r="N12" s="412">
        <v>1</v>
      </c>
      <c r="O12" s="387"/>
      <c r="P12" s="387"/>
      <c r="Q12" s="387"/>
      <c r="R12" s="387"/>
      <c r="S12" s="387"/>
    </row>
    <row r="13" spans="1:38" s="7" customFormat="1" ht="44.25" customHeight="1" x14ac:dyDescent="0.2">
      <c r="A13" s="259"/>
      <c r="B13" s="259"/>
      <c r="C13" s="259"/>
      <c r="D13" s="259"/>
      <c r="E13" s="296"/>
      <c r="F13" s="319"/>
      <c r="G13" s="319"/>
      <c r="H13" s="319"/>
      <c r="I13" s="258">
        <f>+[28]สง.ก.ตร.!I13</f>
        <v>0</v>
      </c>
      <c r="J13" s="292"/>
      <c r="K13" s="291"/>
      <c r="L13" s="291"/>
      <c r="M13" s="258">
        <f>+[28]สง.ก.ตร.!M13</f>
        <v>0</v>
      </c>
      <c r="N13" s="412">
        <v>1</v>
      </c>
      <c r="O13" s="387"/>
      <c r="P13" s="387"/>
      <c r="Q13" s="387"/>
      <c r="R13" s="387"/>
      <c r="S13" s="387"/>
    </row>
    <row r="14" spans="1:38" s="7" customFormat="1" ht="44.25" customHeight="1" x14ac:dyDescent="0.2">
      <c r="A14" s="259"/>
      <c r="B14" s="259"/>
      <c r="C14" s="259"/>
      <c r="D14" s="259"/>
      <c r="E14" s="296"/>
      <c r="F14" s="319"/>
      <c r="G14" s="319"/>
      <c r="H14" s="319"/>
      <c r="I14" s="258">
        <f>+[28]สง.ก.ตร.!I14</f>
        <v>0</v>
      </c>
      <c r="J14" s="292"/>
      <c r="K14" s="291"/>
      <c r="L14" s="291"/>
      <c r="M14" s="258">
        <f>+[28]สง.ก.ตร.!M14</f>
        <v>0</v>
      </c>
      <c r="N14" s="412">
        <v>1</v>
      </c>
      <c r="O14" s="387"/>
      <c r="P14" s="387"/>
      <c r="Q14" s="387"/>
      <c r="R14" s="387"/>
      <c r="S14" s="387"/>
    </row>
    <row r="15" spans="1:38" s="7" customFormat="1" x14ac:dyDescent="0.2">
      <c r="A15" s="5"/>
      <c r="B15" s="11"/>
      <c r="C15" s="11"/>
      <c r="D15" s="11"/>
      <c r="E15" s="6"/>
      <c r="F15" s="248" t="s">
        <v>294</v>
      </c>
      <c r="G15" s="9"/>
      <c r="H15" s="9"/>
      <c r="I15" s="9"/>
      <c r="J15" s="9"/>
      <c r="K15" s="8"/>
      <c r="L15" s="8"/>
      <c r="M15" s="9"/>
      <c r="N15" s="394"/>
      <c r="O15" s="387"/>
      <c r="P15" s="387"/>
      <c r="Q15" s="387"/>
      <c r="R15" s="387"/>
      <c r="S15" s="387"/>
    </row>
    <row r="16" spans="1:38" s="12" customFormat="1" ht="22.5" thickBot="1" x14ac:dyDescent="0.55000000000000004">
      <c r="A16" s="232">
        <f>+A14</f>
        <v>0</v>
      </c>
      <c r="B16" s="232"/>
      <c r="C16" s="232"/>
      <c r="D16" s="232"/>
      <c r="E16" s="233" t="s">
        <v>58</v>
      </c>
      <c r="F16" s="249">
        <f>SUM(F11:F15)</f>
        <v>0</v>
      </c>
      <c r="G16" s="249">
        <f>SUM(G11:G15)</f>
        <v>0</v>
      </c>
      <c r="H16" s="249">
        <f>SUM(H11:H15)</f>
        <v>0</v>
      </c>
      <c r="I16" s="249"/>
      <c r="J16" s="249">
        <f>SUM(J15:J15)</f>
        <v>0</v>
      </c>
      <c r="K16" s="249">
        <f>SUM(K15:K15)</f>
        <v>0</v>
      </c>
      <c r="L16" s="249">
        <f>SUM(L15:L15)</f>
        <v>0</v>
      </c>
      <c r="M16" s="249"/>
      <c r="N16" s="416"/>
      <c r="O16" s="397">
        <f>+F16+G16</f>
        <v>0</v>
      </c>
      <c r="P16" s="398"/>
      <c r="Q16" s="398"/>
      <c r="R16" s="399"/>
      <c r="S16" s="399"/>
    </row>
    <row r="17" spans="1:46" s="16" customFormat="1" ht="22.5" hidden="1" thickBot="1" x14ac:dyDescent="0.25">
      <c r="A17" s="14"/>
      <c r="B17" s="14"/>
      <c r="C17" s="14"/>
      <c r="D17" s="14"/>
      <c r="E17" s="27" t="s">
        <v>59</v>
      </c>
      <c r="F17" s="31"/>
      <c r="G17" s="31"/>
      <c r="H17" s="31"/>
      <c r="I17" s="31"/>
      <c r="J17" s="31"/>
      <c r="K17" s="15"/>
      <c r="L17" s="15"/>
      <c r="M17" s="31"/>
      <c r="N17" s="417"/>
      <c r="O17" s="400"/>
      <c r="P17" s="400"/>
      <c r="Q17" s="400"/>
      <c r="R17" s="400"/>
      <c r="S17" s="400"/>
    </row>
    <row r="18" spans="1:46" s="16" customFormat="1" ht="22.5" hidden="1" thickBot="1" x14ac:dyDescent="0.25">
      <c r="A18" s="14"/>
      <c r="B18" s="14"/>
      <c r="C18" s="14"/>
      <c r="D18" s="14"/>
      <c r="E18" s="27"/>
      <c r="F18" s="31"/>
      <c r="G18" s="31"/>
      <c r="H18" s="31"/>
      <c r="I18" s="31"/>
      <c r="J18" s="31"/>
      <c r="K18" s="15"/>
      <c r="L18" s="15"/>
      <c r="M18" s="31"/>
      <c r="N18" s="417"/>
      <c r="O18" s="400"/>
      <c r="P18" s="400"/>
      <c r="Q18" s="400"/>
      <c r="R18" s="400"/>
      <c r="S18" s="400"/>
    </row>
    <row r="19" spans="1:46" s="7" customFormat="1" ht="22.5" hidden="1" thickBot="1" x14ac:dyDescent="0.25">
      <c r="A19" s="5"/>
      <c r="B19" s="5"/>
      <c r="C19" s="5"/>
      <c r="D19" s="5"/>
      <c r="E19" s="6"/>
      <c r="F19" s="8"/>
      <c r="G19" s="9"/>
      <c r="H19" s="9"/>
      <c r="I19" s="9"/>
      <c r="J19" s="9"/>
      <c r="K19" s="8"/>
      <c r="L19" s="8"/>
      <c r="M19" s="9"/>
      <c r="N19" s="394"/>
      <c r="O19" s="387"/>
      <c r="P19" s="387"/>
      <c r="Q19" s="387"/>
      <c r="R19" s="387"/>
      <c r="S19" s="387"/>
    </row>
    <row r="20" spans="1:46" s="16" customFormat="1" ht="22.5" hidden="1" thickBot="1" x14ac:dyDescent="0.55000000000000004">
      <c r="A20" s="235"/>
      <c r="B20" s="235"/>
      <c r="C20" s="235"/>
      <c r="D20" s="235"/>
      <c r="E20" s="236" t="s">
        <v>60</v>
      </c>
      <c r="F20" s="250">
        <f>SUM(F18:F19)</f>
        <v>0</v>
      </c>
      <c r="G20" s="250">
        <f>SUM(G18:G19)</f>
        <v>0</v>
      </c>
      <c r="H20" s="250">
        <f>SUM(H18:H19)</f>
        <v>0</v>
      </c>
      <c r="I20" s="250"/>
      <c r="J20" s="250">
        <f>SUM(J18:J19)</f>
        <v>0</v>
      </c>
      <c r="K20" s="250">
        <f>SUM(K18:K19)</f>
        <v>0</v>
      </c>
      <c r="L20" s="250">
        <f>SUM(L18:L19)</f>
        <v>0</v>
      </c>
      <c r="M20" s="250"/>
      <c r="N20" s="415"/>
      <c r="O20" s="402">
        <f>+F20+G20</f>
        <v>0</v>
      </c>
      <c r="P20" s="398"/>
      <c r="Q20" s="398"/>
      <c r="R20" s="400"/>
      <c r="S20" s="400"/>
    </row>
    <row r="21" spans="1:46" s="25" customFormat="1" ht="22.5" thickBot="1" x14ac:dyDescent="0.55000000000000004">
      <c r="A21" s="238">
        <f>+A16+A20</f>
        <v>0</v>
      </c>
      <c r="B21" s="239"/>
      <c r="C21" s="239"/>
      <c r="D21" s="239"/>
      <c r="E21" s="239" t="s">
        <v>501</v>
      </c>
      <c r="F21" s="251">
        <f>F16+F20</f>
        <v>0</v>
      </c>
      <c r="G21" s="240">
        <f>+G16+G20</f>
        <v>0</v>
      </c>
      <c r="H21" s="240">
        <f>+H16+H20</f>
        <v>0</v>
      </c>
      <c r="I21" s="240"/>
      <c r="J21" s="240">
        <f>J16+J20</f>
        <v>0</v>
      </c>
      <c r="K21" s="240">
        <f>K16+K20</f>
        <v>0</v>
      </c>
      <c r="L21" s="240">
        <f>L16+L20</f>
        <v>0</v>
      </c>
      <c r="M21" s="240"/>
      <c r="N21" s="418"/>
      <c r="O21" s="386">
        <f>+O16+O20</f>
        <v>0</v>
      </c>
      <c r="P21" s="403"/>
      <c r="Q21" s="403"/>
      <c r="R21" s="384"/>
      <c r="S21" s="384"/>
      <c r="T21" s="2"/>
      <c r="U21" s="2"/>
      <c r="V21" s="2"/>
      <c r="W21" s="2"/>
      <c r="X21" s="2"/>
      <c r="Y21" s="2"/>
      <c r="Z21" s="2"/>
      <c r="AA21" s="2"/>
    </row>
    <row r="22" spans="1:46" s="7" customFormat="1" x14ac:dyDescent="0.2">
      <c r="A22" s="13"/>
      <c r="B22" s="13"/>
      <c r="C22" s="13"/>
      <c r="D22" s="13"/>
      <c r="E22" s="28"/>
      <c r="F22" s="99"/>
      <c r="G22" s="17"/>
      <c r="H22" s="17"/>
      <c r="I22" s="17"/>
      <c r="J22" s="17"/>
      <c r="K22" s="99"/>
      <c r="L22" s="99"/>
      <c r="M22" s="17"/>
      <c r="N22" s="394"/>
      <c r="O22" s="387"/>
      <c r="P22" s="387"/>
      <c r="Q22" s="387"/>
      <c r="R22" s="387"/>
      <c r="S22" s="387"/>
    </row>
    <row r="23" spans="1:46" s="7" customFormat="1" x14ac:dyDescent="0.5">
      <c r="A23" s="13"/>
      <c r="B23" s="13"/>
      <c r="C23" s="13"/>
      <c r="D23" s="13"/>
      <c r="E23" s="28"/>
      <c r="F23" s="252"/>
      <c r="G23" s="17"/>
      <c r="H23" s="17"/>
      <c r="I23" s="17"/>
      <c r="J23" s="17"/>
      <c r="K23" s="99"/>
      <c r="L23" s="99"/>
      <c r="M23" s="17"/>
      <c r="N23" s="394"/>
      <c r="O23" s="387"/>
      <c r="P23" s="387"/>
      <c r="Q23" s="387"/>
      <c r="R23" s="387"/>
      <c r="S23" s="387"/>
    </row>
    <row r="25" spans="1:46" s="20" customFormat="1" ht="22.5" thickBot="1" x14ac:dyDescent="0.55000000000000004">
      <c r="A25" s="19"/>
      <c r="B25" s="19"/>
      <c r="C25" s="19"/>
      <c r="D25" s="19"/>
      <c r="E25" s="77" t="s">
        <v>64</v>
      </c>
      <c r="F25" s="253"/>
      <c r="G25" s="229"/>
      <c r="H25" s="119"/>
      <c r="I25" s="119"/>
      <c r="J25" s="119"/>
      <c r="K25" s="183"/>
      <c r="L25" s="183"/>
      <c r="M25" s="119"/>
      <c r="N25" s="414"/>
      <c r="O25" s="384"/>
      <c r="P25" s="384"/>
      <c r="Q25" s="384"/>
      <c r="R25" s="384"/>
      <c r="S25" s="384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s="20" customFormat="1" ht="22.5" thickTop="1" x14ac:dyDescent="0.5">
      <c r="A26" s="19"/>
      <c r="B26" s="19"/>
      <c r="C26" s="19"/>
      <c r="D26" s="19"/>
      <c r="E26" s="20" t="s">
        <v>65</v>
      </c>
      <c r="F26" s="254"/>
      <c r="G26" s="102"/>
      <c r="H26" s="102"/>
      <c r="I26" s="102"/>
      <c r="J26" s="102"/>
      <c r="K26" s="183"/>
      <c r="L26" s="183"/>
      <c r="M26" s="102"/>
      <c r="N26" s="414"/>
      <c r="O26" s="384"/>
      <c r="P26" s="384"/>
      <c r="Q26" s="384"/>
      <c r="R26" s="384"/>
      <c r="S26" s="384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s="20" customFormat="1" x14ac:dyDescent="0.5">
      <c r="A27" s="19"/>
      <c r="B27" s="19"/>
      <c r="C27" s="19"/>
      <c r="D27" s="19"/>
      <c r="E27" s="20" t="s">
        <v>66</v>
      </c>
      <c r="F27" s="254"/>
      <c r="G27" s="102"/>
      <c r="H27" s="102"/>
      <c r="I27" s="102"/>
      <c r="J27" s="102"/>
      <c r="K27" s="183"/>
      <c r="L27" s="183"/>
      <c r="M27" s="102"/>
      <c r="N27" s="414"/>
      <c r="O27" s="384"/>
      <c r="P27" s="384"/>
      <c r="Q27" s="384"/>
      <c r="R27" s="384"/>
      <c r="S27" s="384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s="20" customFormat="1" x14ac:dyDescent="0.5">
      <c r="A28" s="19"/>
      <c r="B28" s="19"/>
      <c r="C28" s="19"/>
      <c r="D28" s="19"/>
      <c r="E28" s="20" t="s">
        <v>67</v>
      </c>
      <c r="F28" s="254"/>
      <c r="G28" s="102"/>
      <c r="H28" s="102"/>
      <c r="I28" s="102"/>
      <c r="J28" s="102"/>
      <c r="K28" s="183"/>
      <c r="L28" s="183"/>
      <c r="M28" s="102"/>
      <c r="N28" s="414"/>
      <c r="O28" s="384"/>
      <c r="P28" s="384"/>
      <c r="Q28" s="384"/>
      <c r="R28" s="384"/>
      <c r="S28" s="384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</sheetData>
  <autoFilter ref="N1:N28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pageMargins left="0.74803149606299213" right="0.74803149606299213" top="0.74803149606299213" bottom="0.74803149606299213" header="0.31496062992125984" footer="0.31496062992125984"/>
  <pageSetup paperSize="9" scale="90" orientation="landscape" blackAndWhite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5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2" width="6.140625" style="486" customWidth="1"/>
    <col min="3" max="3" width="6.85546875" style="486" customWidth="1"/>
    <col min="4" max="4" width="6" style="486" customWidth="1"/>
    <col min="5" max="5" width="41.85546875" style="460" customWidth="1"/>
    <col min="6" max="6" width="13" style="487" customWidth="1"/>
    <col min="7" max="7" width="14.140625" style="488" customWidth="1"/>
    <col min="8" max="8" width="14.140625" style="488" hidden="1" customWidth="1"/>
    <col min="9" max="9" width="28.5703125" style="488" customWidth="1"/>
    <col min="10" max="10" width="13.140625" style="488" hidden="1" customWidth="1"/>
    <col min="11" max="11" width="0.140625" style="464" hidden="1" customWidth="1"/>
    <col min="12" max="12" width="14.140625" style="464" hidden="1" customWidth="1"/>
    <col min="13" max="13" width="30.85546875" style="488" customWidth="1"/>
    <col min="14" max="14" width="4.85546875" style="610" customWidth="1"/>
    <col min="15" max="15" width="19.5703125" style="399" bestFit="1" customWidth="1"/>
    <col min="16" max="16" width="9.140625" style="399"/>
    <col min="17" max="17" width="11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9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9"/>
      <c r="O2" s="402" t="s">
        <v>69</v>
      </c>
      <c r="P2" s="399">
        <v>2</v>
      </c>
      <c r="Q2" s="397">
        <f>SUM(F11:F11)</f>
        <v>64000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9"/>
      <c r="O3" s="400" t="s">
        <v>72</v>
      </c>
      <c r="P3" s="461" t="s">
        <v>70</v>
      </c>
      <c r="Q3" s="462" t="s">
        <v>70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1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1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1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15"/>
      <c r="P8" s="642"/>
      <c r="Q8" s="642"/>
    </row>
    <row r="9" spans="1:38" x14ac:dyDescent="0.5">
      <c r="A9" s="10"/>
      <c r="B9" s="10"/>
      <c r="C9" s="10"/>
      <c r="D9" s="10"/>
      <c r="E9" s="29" t="s">
        <v>34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17"/>
      <c r="O10" s="400"/>
      <c r="P10" s="400"/>
      <c r="Q10" s="400"/>
      <c r="R10" s="400"/>
      <c r="S10" s="400"/>
    </row>
    <row r="11" spans="1:38" s="16" customFormat="1" ht="65.25" x14ac:dyDescent="0.2">
      <c r="A11" s="261">
        <v>1</v>
      </c>
      <c r="B11" s="612"/>
      <c r="C11" s="554" t="s">
        <v>80</v>
      </c>
      <c r="D11" s="261" t="s">
        <v>34</v>
      </c>
      <c r="E11" s="533" t="s">
        <v>502</v>
      </c>
      <c r="F11" s="534">
        <v>64000</v>
      </c>
      <c r="G11" s="281"/>
      <c r="H11" s="281"/>
      <c r="I11" s="508" t="str">
        <f>+[29]Sheet1!I11</f>
        <v>อยู่ระหว่างดำเนินการ</v>
      </c>
      <c r="J11" s="31"/>
      <c r="K11" s="15"/>
      <c r="L11" s="15"/>
      <c r="M11" s="508" t="str">
        <f>+[29]Sheet1!M11</f>
        <v>อยู่ระหว่างดำเนินการ ในระบบ GFMIS</v>
      </c>
      <c r="N11" s="407">
        <v>1</v>
      </c>
      <c r="O11" s="400"/>
      <c r="P11" s="400"/>
      <c r="Q11" s="400"/>
      <c r="R11" s="400"/>
      <c r="S11" s="400"/>
    </row>
    <row r="12" spans="1:38" s="16" customFormat="1" x14ac:dyDescent="0.2">
      <c r="A12" s="476"/>
      <c r="B12" s="613"/>
      <c r="C12" s="476"/>
      <c r="D12" s="476"/>
      <c r="E12" s="477"/>
      <c r="F12" s="497"/>
      <c r="G12" s="31"/>
      <c r="H12" s="31"/>
      <c r="I12" s="31"/>
      <c r="J12" s="31"/>
      <c r="K12" s="15"/>
      <c r="L12" s="15"/>
      <c r="M12" s="31"/>
      <c r="N12" s="417"/>
      <c r="O12" s="400"/>
      <c r="P12" s="400"/>
      <c r="Q12" s="400"/>
      <c r="R12" s="400"/>
      <c r="S12" s="400"/>
    </row>
    <row r="13" spans="1:38" s="12" customFormat="1" ht="22.5" thickBot="1" x14ac:dyDescent="0.55000000000000004">
      <c r="A13" s="287">
        <f>+A11</f>
        <v>1</v>
      </c>
      <c r="B13" s="232"/>
      <c r="C13" s="232"/>
      <c r="D13" s="232"/>
      <c r="E13" s="233" t="s">
        <v>58</v>
      </c>
      <c r="F13" s="249">
        <f>SUM(F11:F12)</f>
        <v>64000</v>
      </c>
      <c r="G13" s="249">
        <f>SUM(G12:G12)</f>
        <v>0</v>
      </c>
      <c r="H13" s="249">
        <f>SUM(H12:H12)</f>
        <v>0</v>
      </c>
      <c r="I13" s="249"/>
      <c r="J13" s="249">
        <f>SUM(J12:J12)</f>
        <v>0</v>
      </c>
      <c r="K13" s="249">
        <f>SUM(K12:K12)</f>
        <v>0</v>
      </c>
      <c r="L13" s="249">
        <f>SUM(L12:L12)</f>
        <v>0</v>
      </c>
      <c r="M13" s="249"/>
      <c r="N13" s="416"/>
      <c r="O13" s="397">
        <f>+F13+G13</f>
        <v>64000</v>
      </c>
      <c r="P13" s="398"/>
      <c r="Q13" s="398"/>
      <c r="R13" s="399"/>
      <c r="S13" s="399"/>
    </row>
    <row r="14" spans="1:38" s="16" customFormat="1" ht="22.5" hidden="1" thickBot="1" x14ac:dyDescent="0.25">
      <c r="A14" s="14"/>
      <c r="B14" s="14"/>
      <c r="C14" s="14"/>
      <c r="D14" s="14"/>
      <c r="E14" s="27" t="s">
        <v>59</v>
      </c>
      <c r="F14" s="31"/>
      <c r="G14" s="31"/>
      <c r="H14" s="31"/>
      <c r="I14" s="31"/>
      <c r="J14" s="31"/>
      <c r="K14" s="15"/>
      <c r="L14" s="15"/>
      <c r="M14" s="31"/>
      <c r="N14" s="417"/>
      <c r="O14" s="400"/>
      <c r="P14" s="400"/>
      <c r="Q14" s="400"/>
      <c r="R14" s="400"/>
      <c r="S14" s="400"/>
    </row>
    <row r="15" spans="1:38" s="16" customFormat="1" ht="22.5" hidden="1" thickBot="1" x14ac:dyDescent="0.25">
      <c r="A15" s="14"/>
      <c r="B15" s="14"/>
      <c r="C15" s="14"/>
      <c r="D15" s="14"/>
      <c r="E15" s="614"/>
      <c r="F15" s="294"/>
      <c r="G15" s="293"/>
      <c r="H15" s="293"/>
      <c r="I15" s="294"/>
      <c r="J15" s="294"/>
      <c r="K15" s="295"/>
      <c r="L15" s="295"/>
      <c r="M15" s="294"/>
      <c r="N15" s="420"/>
      <c r="O15" s="400"/>
      <c r="P15" s="400"/>
      <c r="Q15" s="400"/>
      <c r="R15" s="400"/>
      <c r="S15" s="400"/>
    </row>
    <row r="16" spans="1:38" s="16" customFormat="1" ht="22.5" hidden="1" thickBot="1" x14ac:dyDescent="0.25">
      <c r="A16" s="14"/>
      <c r="B16" s="14"/>
      <c r="C16" s="14"/>
      <c r="D16" s="14"/>
      <c r="E16" s="477"/>
      <c r="F16" s="15"/>
      <c r="G16" s="31"/>
      <c r="H16" s="31"/>
      <c r="I16" s="31"/>
      <c r="J16" s="31"/>
      <c r="K16" s="15"/>
      <c r="L16" s="15"/>
      <c r="M16" s="31"/>
      <c r="N16" s="417"/>
      <c r="O16" s="400"/>
      <c r="P16" s="400"/>
      <c r="Q16" s="400"/>
      <c r="R16" s="400"/>
      <c r="S16" s="400"/>
    </row>
    <row r="17" spans="1:46" s="16" customFormat="1" ht="22.5" hidden="1" thickBot="1" x14ac:dyDescent="0.55000000000000004">
      <c r="A17" s="235"/>
      <c r="B17" s="235"/>
      <c r="C17" s="235"/>
      <c r="D17" s="235"/>
      <c r="E17" s="236" t="s">
        <v>60</v>
      </c>
      <c r="F17" s="250">
        <f>SUM(F16:F16)</f>
        <v>0</v>
      </c>
      <c r="G17" s="237">
        <f>SUM(G15:G16)</f>
        <v>0</v>
      </c>
      <c r="H17" s="237">
        <f>SUM(H15:H16)</f>
        <v>0</v>
      </c>
      <c r="I17" s="250"/>
      <c r="J17" s="250">
        <f>SUM(J16:J16)</f>
        <v>0</v>
      </c>
      <c r="K17" s="250">
        <f>SUM(K16:K16)</f>
        <v>0</v>
      </c>
      <c r="L17" s="250">
        <f>SUM(L16:L16)</f>
        <v>0</v>
      </c>
      <c r="M17" s="250"/>
      <c r="N17" s="415"/>
      <c r="O17" s="402">
        <f>+F17+G17</f>
        <v>0</v>
      </c>
      <c r="P17" s="398"/>
      <c r="Q17" s="398"/>
      <c r="R17" s="400"/>
      <c r="S17" s="400"/>
    </row>
    <row r="18" spans="1:46" s="480" customFormat="1" ht="22.5" thickBot="1" x14ac:dyDescent="0.55000000000000004">
      <c r="A18" s="238">
        <f>+A13+A17</f>
        <v>1</v>
      </c>
      <c r="B18" s="239"/>
      <c r="C18" s="239"/>
      <c r="D18" s="239"/>
      <c r="E18" s="239" t="s">
        <v>503</v>
      </c>
      <c r="F18" s="251">
        <f>F13+F17</f>
        <v>64000</v>
      </c>
      <c r="G18" s="289">
        <f>+G13+G17</f>
        <v>0</v>
      </c>
      <c r="H18" s="289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240"/>
      <c r="N18" s="418"/>
      <c r="O18" s="397">
        <f>+O13+O17</f>
        <v>64000</v>
      </c>
      <c r="P18" s="479"/>
      <c r="Q18" s="479"/>
      <c r="R18" s="399"/>
      <c r="S18" s="399"/>
      <c r="T18" s="12"/>
      <c r="U18" s="12"/>
      <c r="V18" s="12"/>
      <c r="W18" s="12"/>
      <c r="X18" s="12"/>
      <c r="Y18" s="12"/>
      <c r="Z18" s="12"/>
      <c r="AA18" s="12"/>
    </row>
    <row r="19" spans="1:46" s="16" customFormat="1" x14ac:dyDescent="0.2">
      <c r="A19" s="481"/>
      <c r="B19" s="481"/>
      <c r="C19" s="481"/>
      <c r="D19" s="481"/>
      <c r="E19" s="482"/>
      <c r="F19" s="376"/>
      <c r="G19" s="375"/>
      <c r="H19" s="375"/>
      <c r="I19" s="375"/>
      <c r="J19" s="375"/>
      <c r="K19" s="376"/>
      <c r="L19" s="376"/>
      <c r="M19" s="375"/>
      <c r="N19" s="417"/>
      <c r="O19" s="400"/>
      <c r="P19" s="400"/>
      <c r="Q19" s="400"/>
      <c r="R19" s="400"/>
      <c r="S19" s="400"/>
    </row>
    <row r="20" spans="1:46" s="16" customFormat="1" x14ac:dyDescent="0.5">
      <c r="A20" s="481"/>
      <c r="B20" s="481"/>
      <c r="C20" s="481"/>
      <c r="D20" s="481"/>
      <c r="E20" s="482"/>
      <c r="F20" s="252"/>
      <c r="G20" s="375"/>
      <c r="H20" s="375"/>
      <c r="I20" s="375"/>
      <c r="J20" s="375"/>
      <c r="K20" s="376"/>
      <c r="L20" s="376"/>
      <c r="M20" s="375"/>
      <c r="N20" s="417"/>
      <c r="O20" s="400"/>
      <c r="P20" s="400"/>
      <c r="Q20" s="400"/>
      <c r="R20" s="400"/>
      <c r="S20" s="400"/>
    </row>
    <row r="22" spans="1:46" s="77" customFormat="1" ht="22.5" thickBot="1" x14ac:dyDescent="0.55000000000000004">
      <c r="A22" s="483"/>
      <c r="B22" s="483"/>
      <c r="C22" s="483"/>
      <c r="D22" s="483"/>
      <c r="E22" s="77" t="s">
        <v>64</v>
      </c>
      <c r="F22" s="253"/>
      <c r="G22" s="229"/>
      <c r="H22" s="119"/>
      <c r="I22" s="119"/>
      <c r="J22" s="119"/>
      <c r="K22" s="484"/>
      <c r="L22" s="484"/>
      <c r="M22" s="119"/>
      <c r="N22" s="610"/>
      <c r="O22" s="399"/>
      <c r="P22" s="399"/>
      <c r="Q22" s="399"/>
      <c r="R22" s="399"/>
      <c r="S22" s="399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</row>
    <row r="23" spans="1:46" s="77" customFormat="1" ht="22.5" thickTop="1" x14ac:dyDescent="0.5">
      <c r="A23" s="483"/>
      <c r="B23" s="483"/>
      <c r="C23" s="483"/>
      <c r="D23" s="483"/>
      <c r="E23" s="77" t="s">
        <v>65</v>
      </c>
      <c r="F23" s="262"/>
      <c r="G23" s="119"/>
      <c r="H23" s="119"/>
      <c r="I23" s="119"/>
      <c r="J23" s="119"/>
      <c r="K23" s="484"/>
      <c r="L23" s="484"/>
      <c r="M23" s="119"/>
      <c r="N23" s="610"/>
      <c r="O23" s="399"/>
      <c r="P23" s="399"/>
      <c r="Q23" s="399"/>
      <c r="R23" s="399"/>
      <c r="S23" s="399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</row>
    <row r="24" spans="1:46" s="77" customFormat="1" x14ac:dyDescent="0.5">
      <c r="A24" s="483"/>
      <c r="B24" s="483"/>
      <c r="C24" s="483"/>
      <c r="D24" s="483"/>
      <c r="E24" s="77" t="s">
        <v>66</v>
      </c>
      <c r="F24" s="262"/>
      <c r="G24" s="119"/>
      <c r="H24" s="119"/>
      <c r="I24" s="119"/>
      <c r="J24" s="119"/>
      <c r="K24" s="484"/>
      <c r="L24" s="484"/>
      <c r="M24" s="119"/>
      <c r="N24" s="610"/>
      <c r="O24" s="399"/>
      <c r="P24" s="399"/>
      <c r="Q24" s="399"/>
      <c r="R24" s="399"/>
      <c r="S24" s="399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77" customFormat="1" x14ac:dyDescent="0.5">
      <c r="A25" s="483"/>
      <c r="B25" s="483"/>
      <c r="C25" s="483"/>
      <c r="D25" s="483"/>
      <c r="E25" s="77" t="s">
        <v>67</v>
      </c>
      <c r="F25" s="262"/>
      <c r="G25" s="119"/>
      <c r="H25" s="119"/>
      <c r="I25" s="119"/>
      <c r="J25" s="119"/>
      <c r="K25" s="484"/>
      <c r="L25" s="484"/>
      <c r="M25" s="119"/>
      <c r="N25" s="610"/>
      <c r="O25" s="399"/>
      <c r="P25" s="399"/>
      <c r="Q25" s="399"/>
      <c r="R25" s="399"/>
      <c r="S25" s="399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</sheetData>
  <autoFilter ref="N1:N25"/>
  <mergeCells count="20">
    <mergeCell ref="A1:M1"/>
    <mergeCell ref="A2:M2"/>
    <mergeCell ref="A3:M3"/>
    <mergeCell ref="F4:G4"/>
    <mergeCell ref="A5:A8"/>
    <mergeCell ref="B5:B8"/>
    <mergeCell ref="F5:H5"/>
    <mergeCell ref="I5:I8"/>
    <mergeCell ref="H6:H8"/>
    <mergeCell ref="Q5:Q8"/>
    <mergeCell ref="D5:D8"/>
    <mergeCell ref="C5:C8"/>
    <mergeCell ref="F6:F8"/>
    <mergeCell ref="G6:G8"/>
    <mergeCell ref="P5:P8"/>
    <mergeCell ref="J5:J8"/>
    <mergeCell ref="M5:M8"/>
    <mergeCell ref="K5:K8"/>
    <mergeCell ref="L5:L8"/>
    <mergeCell ref="E5:E8"/>
  </mergeCells>
  <phoneticPr fontId="2" type="noConversion"/>
  <pageMargins left="0.55118110236220474" right="0.55118110236220474" top="0.59055118110236227" bottom="0.39370078740157483" header="0.51181102362204722" footer="0.51181102362204722"/>
  <pageSetup paperSize="9" scale="90" orientation="landscape" blackAndWhite="1" r:id="rId1"/>
  <headerFooter alignWithMargins="0"/>
  <rowBreaks count="1" manualBreakCount="1">
    <brk id="1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3" customWidth="1"/>
    <col min="2" max="3" width="6.85546875" style="3" customWidth="1"/>
    <col min="4" max="4" width="8.42578125" style="3" customWidth="1"/>
    <col min="5" max="5" width="43" style="1" customWidth="1"/>
    <col min="6" max="6" width="14.5703125" style="255" customWidth="1"/>
    <col min="7" max="8" width="15.42578125" style="101" customWidth="1"/>
    <col min="9" max="9" width="48.42578125" style="101" customWidth="1"/>
    <col min="10" max="10" width="13.140625" style="101" hidden="1" customWidth="1"/>
    <col min="11" max="11" width="12.140625" style="150" hidden="1" customWidth="1"/>
    <col min="12" max="12" width="9.140625" style="150" hidden="1" customWidth="1"/>
    <col min="13" max="13" width="17.5703125" style="150" customWidth="1"/>
    <col min="14" max="14" width="8.85546875" style="2" customWidth="1"/>
    <col min="15" max="26" width="9.140625" style="2"/>
    <col min="27" max="16384" width="9.140625" style="1"/>
  </cols>
  <sheetData>
    <row r="1" spans="1:37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2"/>
      <c r="O1" s="2" t="s">
        <v>68</v>
      </c>
      <c r="Q1" s="2" t="s">
        <v>63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305" t="s">
        <v>69</v>
      </c>
      <c r="N2" s="2" t="s">
        <v>70</v>
      </c>
      <c r="O2" s="140">
        <f>SUM(F11:F12)</f>
        <v>0</v>
      </c>
      <c r="P2" s="140" t="s">
        <v>70</v>
      </c>
      <c r="Q2" s="2" t="s">
        <v>70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5">
      <c r="A3" s="656" t="s">
        <v>45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7" t="s">
        <v>72</v>
      </c>
      <c r="N3" s="1" t="s">
        <v>70</v>
      </c>
      <c r="O3" s="382" t="s">
        <v>70</v>
      </c>
      <c r="P3" s="383" t="s">
        <v>70</v>
      </c>
      <c r="Q3" s="382" t="s">
        <v>70</v>
      </c>
      <c r="R3" s="1"/>
      <c r="S3" s="1"/>
      <c r="T3" s="1"/>
      <c r="U3" s="1"/>
      <c r="V3" s="1"/>
      <c r="W3" s="1"/>
      <c r="X3" s="1"/>
      <c r="Y3" s="1"/>
      <c r="Z3" s="1"/>
    </row>
    <row r="4" spans="1:37" ht="18" customHeight="1" x14ac:dyDescent="0.5">
      <c r="A4" s="1"/>
      <c r="B4" s="1"/>
      <c r="C4" s="1"/>
      <c r="D4" s="1"/>
      <c r="F4" s="671"/>
      <c r="G4" s="671"/>
      <c r="H4" s="444"/>
      <c r="I4" s="444"/>
      <c r="J4" s="444"/>
      <c r="M4" s="2" t="s">
        <v>73</v>
      </c>
      <c r="N4" s="230" t="s">
        <v>70</v>
      </c>
      <c r="O4" s="230" t="s">
        <v>70</v>
      </c>
      <c r="P4" s="2" t="s">
        <v>70</v>
      </c>
      <c r="Q4" s="2" t="s">
        <v>70</v>
      </c>
    </row>
    <row r="5" spans="1:37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252</v>
      </c>
      <c r="J5" s="643" t="s">
        <v>50</v>
      </c>
      <c r="K5" s="643" t="s">
        <v>51</v>
      </c>
      <c r="L5" s="657" t="s">
        <v>52</v>
      </c>
      <c r="M5" s="375"/>
      <c r="O5" s="668" t="s">
        <v>53</v>
      </c>
      <c r="P5" s="668" t="s">
        <v>54</v>
      </c>
    </row>
    <row r="6" spans="1:37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375"/>
      <c r="O6" s="668"/>
      <c r="P6" s="668"/>
    </row>
    <row r="7" spans="1:37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375"/>
      <c r="O7" s="668"/>
      <c r="P7" s="668"/>
    </row>
    <row r="8" spans="1:37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375"/>
      <c r="O8" s="668"/>
      <c r="P8" s="668"/>
    </row>
    <row r="9" spans="1:37" x14ac:dyDescent="0.5">
      <c r="A9" s="10"/>
      <c r="B9" s="10"/>
      <c r="C9" s="10"/>
      <c r="D9" s="10"/>
      <c r="E9" s="29" t="s">
        <v>35</v>
      </c>
      <c r="F9" s="247"/>
      <c r="G9" s="100"/>
      <c r="H9" s="100"/>
      <c r="I9" s="100"/>
      <c r="J9" s="100"/>
      <c r="K9" s="182"/>
      <c r="L9" s="182"/>
    </row>
    <row r="10" spans="1:37" s="7" customFormat="1" x14ac:dyDescent="0.2">
      <c r="A10" s="5"/>
      <c r="B10" s="5"/>
      <c r="C10" s="5"/>
      <c r="D10" s="5"/>
      <c r="E10" s="14" t="s">
        <v>2</v>
      </c>
      <c r="F10" s="9"/>
      <c r="G10" s="9"/>
      <c r="H10" s="9"/>
      <c r="I10" s="9"/>
      <c r="J10" s="9"/>
      <c r="K10" s="8"/>
      <c r="L10" s="8"/>
      <c r="M10" s="99"/>
    </row>
    <row r="11" spans="1:37" s="7" customFormat="1" x14ac:dyDescent="0.2">
      <c r="A11" s="5"/>
      <c r="B11" s="5"/>
      <c r="C11" s="5"/>
      <c r="D11" s="5"/>
      <c r="E11" s="300"/>
      <c r="F11" s="257"/>
      <c r="G11" s="9"/>
      <c r="H11" s="9"/>
      <c r="I11" s="248"/>
      <c r="J11" s="9"/>
      <c r="K11" s="8"/>
      <c r="L11" s="8"/>
      <c r="M11" s="99"/>
    </row>
    <row r="12" spans="1:37" s="7" customFormat="1" ht="22.5" customHeight="1" x14ac:dyDescent="0.2">
      <c r="A12" s="5"/>
      <c r="B12" s="5"/>
      <c r="C12" s="5"/>
      <c r="D12" s="5"/>
      <c r="E12" s="14"/>
      <c r="F12" s="26"/>
      <c r="G12" s="9"/>
      <c r="H12" s="9"/>
      <c r="I12" s="9"/>
      <c r="J12" s="9"/>
      <c r="K12" s="8"/>
      <c r="L12" s="8"/>
      <c r="M12" s="99"/>
    </row>
    <row r="13" spans="1:37" s="12" customFormat="1" x14ac:dyDescent="0.5">
      <c r="A13" s="232">
        <f>+A11</f>
        <v>0</v>
      </c>
      <c r="B13" s="232"/>
      <c r="C13" s="232"/>
      <c r="D13" s="232"/>
      <c r="E13" s="233" t="s">
        <v>58</v>
      </c>
      <c r="F13" s="297">
        <f>SUM(F11:F12)</f>
        <v>0</v>
      </c>
      <c r="G13" s="249">
        <f>SUM(G12:G12)</f>
        <v>0</v>
      </c>
      <c r="H13" s="249">
        <f>SUM(H12:H12)</f>
        <v>0</v>
      </c>
      <c r="I13" s="249"/>
      <c r="J13" s="249">
        <f>SUM(J12:J12)</f>
        <v>0</v>
      </c>
      <c r="K13" s="249">
        <f>SUM(K12:K12)</f>
        <v>0</v>
      </c>
      <c r="L13" s="249">
        <f>SUM(L12:L12)</f>
        <v>0</v>
      </c>
      <c r="M13" s="377"/>
      <c r="N13" s="138">
        <f>+F13+G13</f>
        <v>0</v>
      </c>
      <c r="O13" s="231"/>
      <c r="P13" s="231"/>
    </row>
    <row r="14" spans="1:37" s="16" customFormat="1" x14ac:dyDescent="0.2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76"/>
    </row>
    <row r="15" spans="1:37" s="16" customFormat="1" x14ac:dyDescent="0.2">
      <c r="A15" s="14"/>
      <c r="B15" s="14"/>
      <c r="C15" s="14"/>
      <c r="D15" s="14"/>
      <c r="E15" s="27"/>
      <c r="F15" s="304"/>
      <c r="G15" s="31"/>
      <c r="H15" s="31"/>
      <c r="I15" s="31"/>
      <c r="J15" s="31"/>
      <c r="K15" s="15"/>
      <c r="L15" s="15"/>
      <c r="M15" s="376"/>
    </row>
    <row r="16" spans="1:37" s="7" customFormat="1" ht="21" customHeight="1" x14ac:dyDescent="0.2">
      <c r="A16" s="5"/>
      <c r="B16" s="5"/>
      <c r="C16" s="5"/>
      <c r="D16" s="5"/>
      <c r="E16" s="6"/>
      <c r="F16" s="303"/>
      <c r="G16" s="9"/>
      <c r="H16" s="9"/>
      <c r="I16" s="9"/>
      <c r="J16" s="9"/>
      <c r="K16" s="8"/>
      <c r="L16" s="8"/>
      <c r="M16" s="99"/>
    </row>
    <row r="17" spans="1:45" s="16" customFormat="1" ht="22.5" thickBot="1" x14ac:dyDescent="0.55000000000000004">
      <c r="A17" s="235">
        <f>+A15</f>
        <v>0</v>
      </c>
      <c r="B17" s="235"/>
      <c r="C17" s="235"/>
      <c r="D17" s="235"/>
      <c r="E17" s="236" t="s">
        <v>60</v>
      </c>
      <c r="F17" s="298">
        <f>SUM(F16:F16)</f>
        <v>0</v>
      </c>
      <c r="G17" s="250">
        <f>SUM(G16:G16)</f>
        <v>0</v>
      </c>
      <c r="H17" s="250">
        <f>SUM(H16:H16)</f>
        <v>0</v>
      </c>
      <c r="I17" s="250"/>
      <c r="J17" s="250">
        <f>SUM(J16:J16)</f>
        <v>0</v>
      </c>
      <c r="K17" s="250">
        <f>SUM(K16:K16)</f>
        <v>0</v>
      </c>
      <c r="L17" s="250">
        <f>SUM(L16:L16)</f>
        <v>0</v>
      </c>
      <c r="M17" s="375"/>
      <c r="N17" s="139">
        <f>+F17+G17</f>
        <v>0</v>
      </c>
      <c r="O17" s="231"/>
      <c r="P17" s="231"/>
    </row>
    <row r="18" spans="1:45" s="25" customFormat="1" ht="22.5" thickBot="1" x14ac:dyDescent="0.55000000000000004">
      <c r="A18" s="238">
        <f>+A13+A17</f>
        <v>0</v>
      </c>
      <c r="B18" s="239"/>
      <c r="C18" s="239"/>
      <c r="D18" s="239"/>
      <c r="E18" s="239" t="s">
        <v>504</v>
      </c>
      <c r="F18" s="299">
        <f>F13+F17</f>
        <v>0</v>
      </c>
      <c r="G18" s="240">
        <f>+G13+G17</f>
        <v>0</v>
      </c>
      <c r="H18" s="240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378"/>
      <c r="N18" s="140">
        <f>+N13+N17</f>
        <v>0</v>
      </c>
      <c r="O18" s="241"/>
      <c r="P18" s="24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45" s="7" customFormat="1" x14ac:dyDescent="0.2">
      <c r="A19" s="13"/>
      <c r="B19" s="13"/>
      <c r="C19" s="13"/>
      <c r="D19" s="13"/>
      <c r="E19" s="28"/>
      <c r="F19" s="99"/>
      <c r="G19" s="17"/>
      <c r="H19" s="17"/>
      <c r="I19" s="17"/>
      <c r="J19" s="17"/>
      <c r="K19" s="99"/>
      <c r="L19" s="99"/>
      <c r="M19" s="99"/>
    </row>
    <row r="20" spans="1:45" s="7" customFormat="1" x14ac:dyDescent="0.5">
      <c r="A20" s="13"/>
      <c r="B20" s="13"/>
      <c r="C20" s="13"/>
      <c r="D20" s="13"/>
      <c r="E20" s="28"/>
      <c r="F20" s="252"/>
      <c r="G20" s="17"/>
      <c r="H20" s="17"/>
      <c r="I20" s="17"/>
      <c r="J20" s="17"/>
      <c r="K20" s="99"/>
      <c r="L20" s="99"/>
      <c r="M20" s="99"/>
    </row>
    <row r="22" spans="1:45" s="20" customFormat="1" ht="22.5" thickBot="1" x14ac:dyDescent="0.55000000000000004">
      <c r="A22" s="19"/>
      <c r="B22" s="19"/>
      <c r="C22" s="19"/>
      <c r="D22" s="19"/>
      <c r="E22" s="77" t="s">
        <v>64</v>
      </c>
      <c r="F22" s="253"/>
      <c r="G22" s="229"/>
      <c r="H22" s="119"/>
      <c r="I22" s="119"/>
      <c r="J22" s="119"/>
      <c r="K22" s="183"/>
      <c r="L22" s="183"/>
      <c r="M22" s="18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s="20" customFormat="1" ht="22.5" thickTop="1" x14ac:dyDescent="0.5">
      <c r="A23" s="19"/>
      <c r="B23" s="19"/>
      <c r="C23" s="19"/>
      <c r="D23" s="19"/>
      <c r="E23" s="20" t="s">
        <v>65</v>
      </c>
      <c r="F23" s="254"/>
      <c r="G23" s="102"/>
      <c r="H23" s="102"/>
      <c r="I23" s="102"/>
      <c r="J23" s="102"/>
      <c r="K23" s="183"/>
      <c r="L23" s="183"/>
      <c r="M23" s="18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s="20" customFormat="1" x14ac:dyDescent="0.5">
      <c r="A24" s="19"/>
      <c r="B24" s="19"/>
      <c r="C24" s="19"/>
      <c r="D24" s="19"/>
      <c r="E24" s="20" t="s">
        <v>66</v>
      </c>
      <c r="F24" s="254"/>
      <c r="G24" s="102"/>
      <c r="H24" s="102"/>
      <c r="I24" s="102"/>
      <c r="J24" s="102"/>
      <c r="K24" s="183"/>
      <c r="L24" s="183"/>
      <c r="M24" s="18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s="20" customFormat="1" x14ac:dyDescent="0.5">
      <c r="A25" s="19"/>
      <c r="B25" s="19"/>
      <c r="C25" s="19"/>
      <c r="D25" s="19"/>
      <c r="E25" s="20" t="s">
        <v>67</v>
      </c>
      <c r="F25" s="254"/>
      <c r="G25" s="102"/>
      <c r="H25" s="102"/>
      <c r="I25" s="102"/>
      <c r="J25" s="102"/>
      <c r="K25" s="183"/>
      <c r="L25" s="183"/>
      <c r="M25" s="18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</sheetData>
  <mergeCells count="19">
    <mergeCell ref="A1:L1"/>
    <mergeCell ref="A2:L2"/>
    <mergeCell ref="A3:L3"/>
    <mergeCell ref="K5:K8"/>
    <mergeCell ref="L5:L8"/>
    <mergeCell ref="A5:A8"/>
    <mergeCell ref="J5:J8"/>
    <mergeCell ref="B5:B8"/>
    <mergeCell ref="D5:D8"/>
    <mergeCell ref="E5:E8"/>
    <mergeCell ref="P5:P8"/>
    <mergeCell ref="F6:F8"/>
    <mergeCell ref="G6:G8"/>
    <mergeCell ref="C5:C8"/>
    <mergeCell ref="F4:G4"/>
    <mergeCell ref="O5:O8"/>
    <mergeCell ref="I5:I8"/>
    <mergeCell ref="F5:H5"/>
    <mergeCell ref="H6:H8"/>
  </mergeCells>
  <pageMargins left="0.70866141732283472" right="0.70866141732283472" top="0.48" bottom="0.19685039370078741" header="0.26" footer="0.31496062992125984"/>
  <pageSetup paperSize="9" scale="85" orientation="landscape" blackAndWhite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140625" style="486" customWidth="1"/>
    <col min="5" max="5" width="43" style="460" customWidth="1"/>
    <col min="6" max="6" width="14.5703125" style="559" customWidth="1"/>
    <col min="7" max="7" width="13.42578125" style="488" customWidth="1"/>
    <col min="8" max="8" width="12.5703125" style="488" hidden="1" customWidth="1"/>
    <col min="9" max="9" width="29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140625" style="488" customWidth="1"/>
    <col min="14" max="14" width="6.42578125" style="610" customWidth="1"/>
    <col min="15" max="15" width="19.5703125" style="399" bestFit="1" customWidth="1"/>
    <col min="16" max="16" width="9.140625" style="399"/>
    <col min="17" max="17" width="12.42578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9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9"/>
      <c r="O2" s="402" t="s">
        <v>69</v>
      </c>
      <c r="P2" s="399">
        <v>7</v>
      </c>
      <c r="Q2" s="397">
        <f>SUM(F11:F17)</f>
        <v>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9"/>
      <c r="O3" s="400" t="s">
        <v>72</v>
      </c>
      <c r="P3" s="461" t="s">
        <v>70</v>
      </c>
      <c r="Q3" s="462" t="s">
        <v>70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505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1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1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1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15"/>
      <c r="P8" s="642"/>
      <c r="Q8" s="642"/>
    </row>
    <row r="9" spans="1:38" x14ac:dyDescent="0.5">
      <c r="A9" s="10"/>
      <c r="B9" s="10"/>
      <c r="C9" s="10"/>
      <c r="D9" s="10"/>
      <c r="E9" s="29" t="s">
        <v>36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17"/>
      <c r="O10" s="400"/>
      <c r="P10" s="400"/>
      <c r="Q10" s="400"/>
      <c r="R10" s="400"/>
      <c r="S10" s="400"/>
    </row>
    <row r="11" spans="1:38" s="16" customFormat="1" x14ac:dyDescent="0.2">
      <c r="A11" s="261"/>
      <c r="B11" s="261"/>
      <c r="C11" s="554"/>
      <c r="D11" s="261"/>
      <c r="E11" s="533"/>
      <c r="F11" s="534"/>
      <c r="G11" s="281"/>
      <c r="H11" s="281"/>
      <c r="I11" s="281">
        <f>+[30]Sheet1!I11</f>
        <v>0</v>
      </c>
      <c r="J11" s="31"/>
      <c r="K11" s="15"/>
      <c r="L11" s="15"/>
      <c r="M11" s="281">
        <f>+[30]Sheet1!M11</f>
        <v>0</v>
      </c>
      <c r="N11" s="407">
        <v>1</v>
      </c>
      <c r="O11" s="400"/>
      <c r="P11" s="400"/>
      <c r="Q11" s="400"/>
      <c r="R11" s="400"/>
      <c r="S11" s="400"/>
    </row>
    <row r="12" spans="1:38" s="16" customFormat="1" x14ac:dyDescent="0.2">
      <c r="A12" s="261"/>
      <c r="B12" s="261"/>
      <c r="C12" s="554"/>
      <c r="D12" s="261"/>
      <c r="E12" s="533"/>
      <c r="F12" s="534"/>
      <c r="G12" s="281"/>
      <c r="H12" s="281"/>
      <c r="I12" s="281">
        <f>+[30]Sheet1!I12</f>
        <v>0</v>
      </c>
      <c r="J12" s="31"/>
      <c r="K12" s="15"/>
      <c r="L12" s="15"/>
      <c r="M12" s="281">
        <f>+[30]Sheet1!M12</f>
        <v>0</v>
      </c>
      <c r="N12" s="407">
        <v>1</v>
      </c>
      <c r="O12" s="400"/>
      <c r="P12" s="400"/>
      <c r="Q12" s="400"/>
      <c r="R12" s="400"/>
      <c r="S12" s="400"/>
    </row>
    <row r="13" spans="1:38" s="16" customFormat="1" x14ac:dyDescent="0.2">
      <c r="A13" s="261"/>
      <c r="B13" s="261"/>
      <c r="C13" s="554"/>
      <c r="D13" s="261"/>
      <c r="E13" s="533"/>
      <c r="F13" s="534"/>
      <c r="G13" s="281"/>
      <c r="H13" s="281"/>
      <c r="I13" s="281">
        <f>+[30]Sheet1!I13</f>
        <v>0</v>
      </c>
      <c r="J13" s="31"/>
      <c r="K13" s="15"/>
      <c r="L13" s="15"/>
      <c r="M13" s="281">
        <f>+[30]Sheet1!M13</f>
        <v>0</v>
      </c>
      <c r="N13" s="407">
        <v>1</v>
      </c>
      <c r="O13" s="400"/>
      <c r="P13" s="400"/>
      <c r="Q13" s="400"/>
      <c r="R13" s="400"/>
      <c r="S13" s="400"/>
    </row>
    <row r="14" spans="1:38" s="16" customFormat="1" x14ac:dyDescent="0.2">
      <c r="A14" s="261"/>
      <c r="B14" s="261"/>
      <c r="C14" s="554"/>
      <c r="D14" s="261"/>
      <c r="E14" s="533"/>
      <c r="F14" s="534"/>
      <c r="G14" s="281"/>
      <c r="H14" s="281"/>
      <c r="I14" s="281">
        <f>+[30]Sheet1!I14</f>
        <v>0</v>
      </c>
      <c r="J14" s="31"/>
      <c r="K14" s="15"/>
      <c r="L14" s="15"/>
      <c r="M14" s="281">
        <f>+[30]Sheet1!M14</f>
        <v>0</v>
      </c>
      <c r="N14" s="407">
        <v>1</v>
      </c>
      <c r="O14" s="400"/>
      <c r="P14" s="400"/>
      <c r="Q14" s="400"/>
      <c r="R14" s="400"/>
      <c r="S14" s="400"/>
    </row>
    <row r="15" spans="1:38" s="16" customFormat="1" x14ac:dyDescent="0.2">
      <c r="A15" s="261"/>
      <c r="B15" s="261"/>
      <c r="C15" s="554"/>
      <c r="D15" s="261"/>
      <c r="E15" s="533"/>
      <c r="F15" s="534"/>
      <c r="G15" s="281"/>
      <c r="H15" s="281"/>
      <c r="I15" s="281">
        <f>+[30]Sheet1!I15</f>
        <v>0</v>
      </c>
      <c r="J15" s="31"/>
      <c r="K15" s="15"/>
      <c r="L15" s="15"/>
      <c r="M15" s="281">
        <f>+[30]Sheet1!M15</f>
        <v>0</v>
      </c>
      <c r="N15" s="407">
        <v>1</v>
      </c>
      <c r="O15" s="400"/>
      <c r="P15" s="400"/>
      <c r="Q15" s="400"/>
      <c r="R15" s="400"/>
      <c r="S15" s="400"/>
    </row>
    <row r="16" spans="1:38" s="16" customFormat="1" x14ac:dyDescent="0.2">
      <c r="A16" s="261"/>
      <c r="B16" s="261"/>
      <c r="C16" s="554"/>
      <c r="D16" s="261"/>
      <c r="E16" s="533"/>
      <c r="F16" s="534"/>
      <c r="G16" s="281"/>
      <c r="H16" s="281"/>
      <c r="I16" s="281">
        <f>+[30]Sheet1!I16</f>
        <v>0</v>
      </c>
      <c r="J16" s="31"/>
      <c r="K16" s="15"/>
      <c r="L16" s="15"/>
      <c r="M16" s="281">
        <f>+[30]Sheet1!M16</f>
        <v>0</v>
      </c>
      <c r="N16" s="407">
        <v>1</v>
      </c>
      <c r="O16" s="400"/>
      <c r="P16" s="400"/>
      <c r="Q16" s="400"/>
      <c r="R16" s="400"/>
      <c r="S16" s="400"/>
    </row>
    <row r="17" spans="1:46" s="16" customFormat="1" x14ac:dyDescent="0.2">
      <c r="A17" s="261"/>
      <c r="B17" s="261"/>
      <c r="C17" s="554"/>
      <c r="D17" s="261"/>
      <c r="E17" s="533"/>
      <c r="F17" s="534"/>
      <c r="G17" s="281"/>
      <c r="H17" s="281"/>
      <c r="I17" s="281">
        <f>+[30]Sheet1!I17</f>
        <v>0</v>
      </c>
      <c r="J17" s="31"/>
      <c r="K17" s="15"/>
      <c r="L17" s="15"/>
      <c r="M17" s="281">
        <f>+[30]Sheet1!M17</f>
        <v>0</v>
      </c>
      <c r="N17" s="407">
        <v>1</v>
      </c>
      <c r="O17" s="400"/>
      <c r="P17" s="400"/>
      <c r="Q17" s="400"/>
      <c r="R17" s="400"/>
      <c r="S17" s="400"/>
    </row>
    <row r="18" spans="1:46" s="16" customFormat="1" x14ac:dyDescent="0.2">
      <c r="A18" s="14"/>
      <c r="B18" s="476"/>
      <c r="C18" s="476"/>
      <c r="D18" s="476"/>
      <c r="E18" s="477"/>
      <c r="F18" s="611"/>
      <c r="G18" s="31"/>
      <c r="H18" s="31"/>
      <c r="I18" s="31"/>
      <c r="J18" s="31"/>
      <c r="K18" s="15"/>
      <c r="L18" s="15"/>
      <c r="M18" s="31"/>
      <c r="N18" s="417"/>
      <c r="O18" s="400"/>
      <c r="P18" s="400"/>
      <c r="Q18" s="400"/>
      <c r="R18" s="400"/>
      <c r="S18" s="400"/>
    </row>
    <row r="19" spans="1:46" s="12" customFormat="1" ht="22.5" thickBot="1" x14ac:dyDescent="0.55000000000000004">
      <c r="A19" s="232">
        <f>+A17</f>
        <v>0</v>
      </c>
      <c r="B19" s="232"/>
      <c r="C19" s="232"/>
      <c r="D19" s="232"/>
      <c r="E19" s="233" t="s">
        <v>58</v>
      </c>
      <c r="F19" s="297">
        <f>SUM(F11:F18)</f>
        <v>0</v>
      </c>
      <c r="G19" s="234">
        <f>SUM(G18:G18)</f>
        <v>0</v>
      </c>
      <c r="H19" s="234">
        <f>SUM(H18:H18)</f>
        <v>0</v>
      </c>
      <c r="I19" s="234"/>
      <c r="J19" s="234">
        <f>SUM(J18:J18)</f>
        <v>0</v>
      </c>
      <c r="K19" s="234">
        <f>SUM(K18:K18)</f>
        <v>0</v>
      </c>
      <c r="L19" s="234">
        <f>SUM(L18:L18)</f>
        <v>0</v>
      </c>
      <c r="M19" s="234"/>
      <c r="N19" s="421"/>
      <c r="O19" s="397">
        <f>+F19+G19</f>
        <v>0</v>
      </c>
      <c r="P19" s="398"/>
      <c r="Q19" s="398"/>
      <c r="R19" s="399"/>
      <c r="S19" s="399"/>
    </row>
    <row r="20" spans="1:46" s="16" customFormat="1" ht="22.5" hidden="1" thickBot="1" x14ac:dyDescent="0.25">
      <c r="A20" s="14"/>
      <c r="B20" s="14"/>
      <c r="C20" s="14"/>
      <c r="D20" s="14"/>
      <c r="E20" s="27" t="s">
        <v>59</v>
      </c>
      <c r="F20" s="30"/>
      <c r="G20" s="31"/>
      <c r="H20" s="31"/>
      <c r="I20" s="31"/>
      <c r="J20" s="31"/>
      <c r="K20" s="15"/>
      <c r="L20" s="15"/>
      <c r="M20" s="31"/>
      <c r="N20" s="417"/>
      <c r="O20" s="400"/>
      <c r="P20" s="400"/>
      <c r="Q20" s="400"/>
      <c r="R20" s="400"/>
      <c r="S20" s="400"/>
    </row>
    <row r="21" spans="1:46" s="16" customFormat="1" ht="22.5" hidden="1" thickBot="1" x14ac:dyDescent="0.25">
      <c r="A21" s="14"/>
      <c r="B21" s="14"/>
      <c r="C21" s="14"/>
      <c r="D21" s="14"/>
      <c r="E21" s="27"/>
      <c r="F21" s="30"/>
      <c r="G21" s="31"/>
      <c r="H21" s="31"/>
      <c r="I21" s="31"/>
      <c r="J21" s="31"/>
      <c r="K21" s="15"/>
      <c r="L21" s="15"/>
      <c r="M21" s="31"/>
      <c r="N21" s="417"/>
      <c r="O21" s="400"/>
      <c r="P21" s="400"/>
      <c r="Q21" s="400"/>
      <c r="R21" s="400"/>
      <c r="S21" s="400"/>
    </row>
    <row r="22" spans="1:46" s="16" customFormat="1" ht="22.5" hidden="1" thickBot="1" x14ac:dyDescent="0.25">
      <c r="A22" s="14"/>
      <c r="B22" s="14"/>
      <c r="C22" s="14"/>
      <c r="D22" s="14"/>
      <c r="E22" s="477"/>
      <c r="F22" s="501"/>
      <c r="G22" s="31"/>
      <c r="H22" s="31"/>
      <c r="I22" s="31"/>
      <c r="J22" s="31"/>
      <c r="K22" s="15"/>
      <c r="L22" s="15"/>
      <c r="M22" s="31"/>
      <c r="N22" s="417"/>
      <c r="O22" s="400"/>
      <c r="P22" s="400"/>
      <c r="Q22" s="400"/>
      <c r="R22" s="400"/>
      <c r="S22" s="400"/>
    </row>
    <row r="23" spans="1:46" s="16" customFormat="1" ht="22.5" hidden="1" thickBot="1" x14ac:dyDescent="0.55000000000000004">
      <c r="A23" s="235">
        <f>+A21</f>
        <v>0</v>
      </c>
      <c r="B23" s="235"/>
      <c r="C23" s="235"/>
      <c r="D23" s="235"/>
      <c r="E23" s="236" t="s">
        <v>60</v>
      </c>
      <c r="F23" s="298">
        <f>SUM(F22:F22)</f>
        <v>0</v>
      </c>
      <c r="G23" s="237">
        <f>SUM(G22:G22)</f>
        <v>0</v>
      </c>
      <c r="H23" s="237">
        <f>SUM(H22:H22)</f>
        <v>0</v>
      </c>
      <c r="I23" s="237"/>
      <c r="J23" s="237">
        <f>SUM(J22:J22)</f>
        <v>0</v>
      </c>
      <c r="K23" s="237">
        <f>SUM(K22:K22)</f>
        <v>0</v>
      </c>
      <c r="L23" s="237">
        <f>SUM(L22:L22)</f>
        <v>0</v>
      </c>
      <c r="M23" s="237"/>
      <c r="N23" s="422"/>
      <c r="O23" s="402">
        <f>+F23+G23</f>
        <v>0</v>
      </c>
      <c r="P23" s="398"/>
      <c r="Q23" s="398"/>
      <c r="R23" s="400"/>
      <c r="S23" s="400"/>
    </row>
    <row r="24" spans="1:46" s="480" customFormat="1" ht="22.5" thickBot="1" x14ac:dyDescent="0.55000000000000004">
      <c r="A24" s="238">
        <f>+A19+A23</f>
        <v>0</v>
      </c>
      <c r="B24" s="239"/>
      <c r="C24" s="239"/>
      <c r="D24" s="239"/>
      <c r="E24" s="239" t="s">
        <v>506</v>
      </c>
      <c r="F24" s="299">
        <f>F19+F23</f>
        <v>0</v>
      </c>
      <c r="G24" s="289">
        <f>+G19+G23</f>
        <v>0</v>
      </c>
      <c r="H24" s="289">
        <f>+H19+H23</f>
        <v>0</v>
      </c>
      <c r="I24" s="240"/>
      <c r="J24" s="240">
        <f>J19+J23</f>
        <v>0</v>
      </c>
      <c r="K24" s="240">
        <f>K19+K23</f>
        <v>0</v>
      </c>
      <c r="L24" s="240">
        <f>L19+L23</f>
        <v>0</v>
      </c>
      <c r="M24" s="240"/>
      <c r="N24" s="418"/>
      <c r="O24" s="397">
        <f>+O19+O23</f>
        <v>0</v>
      </c>
      <c r="P24" s="479"/>
      <c r="Q24" s="479"/>
      <c r="R24" s="399"/>
      <c r="S24" s="399"/>
      <c r="T24" s="12"/>
      <c r="U24" s="12"/>
      <c r="V24" s="12"/>
      <c r="W24" s="12"/>
      <c r="X24" s="12"/>
      <c r="Y24" s="12"/>
      <c r="Z24" s="12"/>
      <c r="AA24" s="12"/>
    </row>
    <row r="25" spans="1:46" s="16" customFormat="1" x14ac:dyDescent="0.2">
      <c r="A25" s="481"/>
      <c r="B25" s="481"/>
      <c r="C25" s="481"/>
      <c r="D25" s="481"/>
      <c r="E25" s="482"/>
      <c r="F25" s="558"/>
      <c r="G25" s="375"/>
      <c r="H25" s="375"/>
      <c r="I25" s="375"/>
      <c r="J25" s="375"/>
      <c r="K25" s="376"/>
      <c r="L25" s="376"/>
      <c r="M25" s="375"/>
      <c r="N25" s="417"/>
      <c r="O25" s="400"/>
      <c r="P25" s="400"/>
      <c r="Q25" s="400"/>
      <c r="R25" s="400"/>
      <c r="S25" s="400"/>
    </row>
    <row r="26" spans="1:46" s="16" customFormat="1" x14ac:dyDescent="0.5">
      <c r="A26" s="481"/>
      <c r="B26" s="481"/>
      <c r="C26" s="481"/>
      <c r="D26" s="481"/>
      <c r="E26" s="482"/>
      <c r="F26" s="32"/>
      <c r="G26" s="375"/>
      <c r="H26" s="375"/>
      <c r="I26" s="375"/>
      <c r="J26" s="375"/>
      <c r="K26" s="376"/>
      <c r="L26" s="376"/>
      <c r="M26" s="375"/>
      <c r="N26" s="417"/>
      <c r="O26" s="400"/>
      <c r="P26" s="400"/>
      <c r="Q26" s="400"/>
      <c r="R26" s="400"/>
      <c r="S26" s="400"/>
    </row>
    <row r="28" spans="1:46" s="77" customFormat="1" ht="22.5" thickBot="1" x14ac:dyDescent="0.55000000000000004">
      <c r="A28" s="483"/>
      <c r="B28" s="483"/>
      <c r="C28" s="483"/>
      <c r="D28" s="483"/>
      <c r="E28" s="77" t="s">
        <v>64</v>
      </c>
      <c r="F28" s="78"/>
      <c r="G28" s="229"/>
      <c r="H28" s="119"/>
      <c r="I28" s="119"/>
      <c r="J28" s="119"/>
      <c r="K28" s="484"/>
      <c r="L28" s="484"/>
      <c r="M28" s="119"/>
      <c r="N28" s="610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ht="22.5" thickTop="1" x14ac:dyDescent="0.5">
      <c r="A29" s="483"/>
      <c r="B29" s="483"/>
      <c r="C29" s="483"/>
      <c r="D29" s="483"/>
      <c r="E29" s="77" t="s">
        <v>65</v>
      </c>
      <c r="F29" s="270"/>
      <c r="G29" s="119"/>
      <c r="H29" s="119"/>
      <c r="I29" s="119"/>
      <c r="J29" s="119"/>
      <c r="K29" s="484"/>
      <c r="L29" s="484"/>
      <c r="M29" s="119"/>
      <c r="N29" s="610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E30" s="77" t="s">
        <v>66</v>
      </c>
      <c r="F30" s="270"/>
      <c r="G30" s="119"/>
      <c r="H30" s="119"/>
      <c r="I30" s="119"/>
      <c r="J30" s="119"/>
      <c r="K30" s="484"/>
      <c r="L30" s="484"/>
      <c r="M30" s="119"/>
      <c r="N30" s="610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x14ac:dyDescent="0.5">
      <c r="A31" s="483"/>
      <c r="B31" s="483"/>
      <c r="C31" s="483"/>
      <c r="D31" s="483"/>
      <c r="E31" s="77" t="s">
        <v>67</v>
      </c>
      <c r="F31" s="270"/>
      <c r="G31" s="119"/>
      <c r="H31" s="119"/>
      <c r="I31" s="119"/>
      <c r="J31" s="119"/>
      <c r="K31" s="484"/>
      <c r="L31" s="484"/>
      <c r="M31" s="119"/>
      <c r="N31" s="610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</sheetData>
  <autoFilter ref="N1:N31"/>
  <mergeCells count="20">
    <mergeCell ref="B5:B8"/>
    <mergeCell ref="D5:D8"/>
    <mergeCell ref="E5:E8"/>
    <mergeCell ref="M5:M8"/>
    <mergeCell ref="A1:M1"/>
    <mergeCell ref="A2:M2"/>
    <mergeCell ref="A3:M3"/>
    <mergeCell ref="A5:A8"/>
    <mergeCell ref="C5:C8"/>
    <mergeCell ref="Q5:Q8"/>
    <mergeCell ref="F4:G4"/>
    <mergeCell ref="P5:P8"/>
    <mergeCell ref="K5:K8"/>
    <mergeCell ref="L5:L8"/>
    <mergeCell ref="F6:F8"/>
    <mergeCell ref="J5:J8"/>
    <mergeCell ref="I5:I8"/>
    <mergeCell ref="F5:H5"/>
    <mergeCell ref="H6:H8"/>
    <mergeCell ref="G6:G8"/>
  </mergeCells>
  <pageMargins left="0.74803149606299213" right="0.74803149606299213" top="0.59055118110236227" bottom="0.59055118110236227" header="0.31496062992125984" footer="0.31496062992125984"/>
  <pageSetup paperSize="9" scale="90" orientation="landscape" blackAndWhite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3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5703125" style="559" customWidth="1"/>
    <col min="7" max="7" width="15.42578125" style="488" customWidth="1"/>
    <col min="8" max="8" width="15.42578125" style="488" hidden="1" customWidth="1"/>
    <col min="9" max="9" width="31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1.140625" style="488" customWidth="1"/>
    <col min="14" max="14" width="4.85546875" style="610" customWidth="1"/>
    <col min="15" max="15" width="19.5703125" style="399" bestFit="1" customWidth="1"/>
    <col min="16" max="16" width="9.140625" style="399"/>
    <col min="17" max="17" width="12.42578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3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3"/>
      <c r="O2" s="402" t="s">
        <v>69</v>
      </c>
      <c r="P2" s="399">
        <v>10</v>
      </c>
      <c r="Q2" s="397">
        <f>SUM(F11:F19)</f>
        <v>983900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3"/>
      <c r="O3" s="400" t="s">
        <v>72</v>
      </c>
      <c r="P3" s="461" t="s">
        <v>70</v>
      </c>
      <c r="Q3" s="462" t="s">
        <v>70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1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1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1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15"/>
      <c r="P8" s="642"/>
      <c r="Q8" s="642"/>
    </row>
    <row r="9" spans="1:38" x14ac:dyDescent="0.5">
      <c r="A9" s="10"/>
      <c r="B9" s="10"/>
      <c r="C9" s="10"/>
      <c r="D9" s="10"/>
      <c r="E9" s="29" t="s">
        <v>37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17"/>
      <c r="O10" s="400"/>
      <c r="P10" s="400"/>
      <c r="Q10" s="400"/>
      <c r="R10" s="400"/>
      <c r="S10" s="400"/>
    </row>
    <row r="11" spans="1:38" s="16" customFormat="1" ht="65.25" x14ac:dyDescent="0.2">
      <c r="A11" s="261">
        <v>1</v>
      </c>
      <c r="B11" s="261"/>
      <c r="C11" s="554" t="s">
        <v>80</v>
      </c>
      <c r="D11" s="261" t="s">
        <v>37</v>
      </c>
      <c r="E11" s="533" t="s">
        <v>507</v>
      </c>
      <c r="F11" s="534">
        <v>310000</v>
      </c>
      <c r="G11" s="281"/>
      <c r="H11" s="281"/>
      <c r="I11" s="281">
        <f>+[31]Sheet1!I11</f>
        <v>0</v>
      </c>
      <c r="J11" s="31"/>
      <c r="K11" s="15"/>
      <c r="L11" s="15"/>
      <c r="M11" s="508" t="str">
        <f>+[31]Sheet1!M11</f>
        <v>ลงนามในสัญญาแล้ว เลขที่ 5/2559 ลง 17 พ.ย.2558 ครบกำหนดวันที่ 17 ธ.ค.2558 อยู่ระหว่างทำ Po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x14ac:dyDescent="0.2">
      <c r="A12" s="261">
        <v>2</v>
      </c>
      <c r="B12" s="261"/>
      <c r="C12" s="554" t="s">
        <v>80</v>
      </c>
      <c r="D12" s="261" t="s">
        <v>37</v>
      </c>
      <c r="E12" s="533" t="s">
        <v>508</v>
      </c>
      <c r="F12" s="534">
        <v>280000</v>
      </c>
      <c r="G12" s="281"/>
      <c r="H12" s="281"/>
      <c r="I12" s="281">
        <f>+[31]Sheet1!I12</f>
        <v>0</v>
      </c>
      <c r="J12" s="31"/>
      <c r="K12" s="15"/>
      <c r="L12" s="15"/>
      <c r="M12" s="508" t="str">
        <f>+[31]Sheet1!M12</f>
        <v>ลงนามในสัญญาแล้ว เลขที่ 5/2559 ลง 17 พ.ย.2558 ครบกำหนดวันที่ 17 ธ.ค.2558 อยู่ระหว่างทำ Po</v>
      </c>
      <c r="N12" s="407">
        <v>1</v>
      </c>
      <c r="O12" s="400"/>
      <c r="P12" s="400"/>
      <c r="Q12" s="400"/>
      <c r="R12" s="400"/>
      <c r="S12" s="400"/>
    </row>
    <row r="13" spans="1:38" s="16" customFormat="1" ht="87" x14ac:dyDescent="0.2">
      <c r="A13" s="261">
        <v>3</v>
      </c>
      <c r="B13" s="261"/>
      <c r="C13" s="554" t="s">
        <v>80</v>
      </c>
      <c r="D13" s="261" t="s">
        <v>37</v>
      </c>
      <c r="E13" s="533" t="s">
        <v>509</v>
      </c>
      <c r="F13" s="534">
        <v>92000</v>
      </c>
      <c r="G13" s="281"/>
      <c r="H13" s="281"/>
      <c r="I13" s="281">
        <f>+[31]Sheet1!I13</f>
        <v>0</v>
      </c>
      <c r="J13" s="31"/>
      <c r="K13" s="15"/>
      <c r="L13" s="15"/>
      <c r="M13" s="508" t="str">
        <f>+[31]Sheet1!M13</f>
        <v>ลงนามในสัญญาแล้ว เลขที่ 5/2559 ลง 17 พ.ย.2558 ครบกำหนดวันที่ 17 ธ.ค.2558 อยู่ระหว่างทำ Po</v>
      </c>
      <c r="N13" s="407">
        <v>1</v>
      </c>
      <c r="O13" s="400"/>
      <c r="P13" s="400"/>
      <c r="Q13" s="400"/>
      <c r="R13" s="400"/>
      <c r="S13" s="400"/>
    </row>
    <row r="14" spans="1:38" s="16" customFormat="1" ht="65.25" x14ac:dyDescent="0.2">
      <c r="A14" s="261">
        <v>4</v>
      </c>
      <c r="B14" s="261"/>
      <c r="C14" s="554" t="s">
        <v>80</v>
      </c>
      <c r="D14" s="261" t="s">
        <v>37</v>
      </c>
      <c r="E14" s="533" t="s">
        <v>510</v>
      </c>
      <c r="F14" s="534">
        <v>84000</v>
      </c>
      <c r="G14" s="281"/>
      <c r="H14" s="281"/>
      <c r="I14" s="281">
        <f>+[31]Sheet1!I14</f>
        <v>0</v>
      </c>
      <c r="J14" s="31"/>
      <c r="K14" s="15"/>
      <c r="L14" s="15"/>
      <c r="M14" s="508" t="str">
        <f>+[31]Sheet1!M14</f>
        <v>ลงนามในสัญญาแล้ว เลขที่ 5/2559 ลง 17 พ.ย.2558 ครบกำหนดวันที่ 17 ธ.ค.2558 อยู่ระหว่างทำ Po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261"/>
      <c r="C15" s="554" t="s">
        <v>80</v>
      </c>
      <c r="D15" s="261" t="s">
        <v>37</v>
      </c>
      <c r="E15" s="533" t="s">
        <v>511</v>
      </c>
      <c r="F15" s="534">
        <v>21900</v>
      </c>
      <c r="G15" s="281"/>
      <c r="H15" s="281"/>
      <c r="I15" s="281">
        <f>+[31]Sheet1!I15</f>
        <v>0</v>
      </c>
      <c r="J15" s="31"/>
      <c r="K15" s="15"/>
      <c r="L15" s="15"/>
      <c r="M15" s="508" t="str">
        <f>+[31]Sheet1!M15</f>
        <v>ลงนามในสัญญาแล้ว เลขที่ 5/2559 ลง 17 พ.ย.2558 ครบกำหนดวันที่ 17 ธ.ค.2558 อยู่ระหว่างทำ Po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554" t="s">
        <v>80</v>
      </c>
      <c r="D16" s="261" t="s">
        <v>37</v>
      </c>
      <c r="E16" s="533" t="s">
        <v>512</v>
      </c>
      <c r="F16" s="534">
        <v>16000</v>
      </c>
      <c r="G16" s="281"/>
      <c r="H16" s="281"/>
      <c r="I16" s="281">
        <f>+[31]Sheet1!I16</f>
        <v>0</v>
      </c>
      <c r="J16" s="31"/>
      <c r="K16" s="15"/>
      <c r="L16" s="15"/>
      <c r="M16" s="508" t="str">
        <f>+[31]Sheet1!M16</f>
        <v>ลงนามในสัญญาแล้ว เลขที่ 5/2559 ลง 17 พ.ย.2558 ครบกำหนดวันที่ 17 ธ.ค.2558 อยู่ระหว่างทำ Po</v>
      </c>
      <c r="N16" s="407">
        <v>1</v>
      </c>
      <c r="O16" s="400"/>
      <c r="P16" s="400"/>
      <c r="Q16" s="400"/>
      <c r="R16" s="400"/>
      <c r="S16" s="400"/>
    </row>
    <row r="17" spans="1:46" s="16" customFormat="1" ht="65.25" x14ac:dyDescent="0.2">
      <c r="A17" s="261">
        <v>7</v>
      </c>
      <c r="B17" s="261"/>
      <c r="C17" s="554" t="s">
        <v>80</v>
      </c>
      <c r="D17" s="261" t="s">
        <v>37</v>
      </c>
      <c r="E17" s="533" t="s">
        <v>513</v>
      </c>
      <c r="F17" s="534">
        <v>25000</v>
      </c>
      <c r="G17" s="281"/>
      <c r="H17" s="281"/>
      <c r="I17" s="281">
        <f>+[31]Sheet1!I17</f>
        <v>0</v>
      </c>
      <c r="J17" s="31"/>
      <c r="K17" s="15"/>
      <c r="L17" s="15"/>
      <c r="M17" s="508" t="str">
        <f>+[31]Sheet1!M17</f>
        <v>ลงนามในสัญญาแล้ว เลขที่ 5/2559 ลง 17 พ.ย.2558 ครบกำหนดวันที่ 17 ธ.ค.2558 อยู่ระหว่างทำ Po</v>
      </c>
      <c r="N17" s="407">
        <v>1</v>
      </c>
      <c r="O17" s="400"/>
      <c r="P17" s="400"/>
      <c r="Q17" s="400"/>
      <c r="R17" s="400"/>
      <c r="S17" s="400"/>
    </row>
    <row r="18" spans="1:46" s="16" customFormat="1" ht="65.25" x14ac:dyDescent="0.2">
      <c r="A18" s="261">
        <v>8</v>
      </c>
      <c r="B18" s="261"/>
      <c r="C18" s="554" t="s">
        <v>80</v>
      </c>
      <c r="D18" s="261" t="s">
        <v>37</v>
      </c>
      <c r="E18" s="533" t="s">
        <v>514</v>
      </c>
      <c r="F18" s="534">
        <v>120000</v>
      </c>
      <c r="G18" s="281"/>
      <c r="H18" s="281"/>
      <c r="I18" s="281">
        <f>+[31]Sheet1!I18</f>
        <v>0</v>
      </c>
      <c r="J18" s="31"/>
      <c r="K18" s="15"/>
      <c r="L18" s="15"/>
      <c r="M18" s="508" t="str">
        <f>+[31]Sheet1!M18</f>
        <v>ลงนามในสัญญาแล้ว เลขที่ 5/2559 ลง 17 พ.ย.2558 ครบกำหนดวันที่ 17 ธ.ค.2558 อยู่ระหว่างทำ Po</v>
      </c>
      <c r="N18" s="407">
        <v>1</v>
      </c>
      <c r="O18" s="400"/>
      <c r="P18" s="400"/>
      <c r="Q18" s="400"/>
      <c r="R18" s="400"/>
      <c r="S18" s="400"/>
    </row>
    <row r="19" spans="1:46" s="16" customFormat="1" ht="65.25" x14ac:dyDescent="0.2">
      <c r="A19" s="261">
        <v>9</v>
      </c>
      <c r="B19" s="261"/>
      <c r="C19" s="554" t="s">
        <v>80</v>
      </c>
      <c r="D19" s="261" t="s">
        <v>37</v>
      </c>
      <c r="E19" s="533" t="s">
        <v>515</v>
      </c>
      <c r="F19" s="534">
        <v>35000</v>
      </c>
      <c r="G19" s="281"/>
      <c r="H19" s="281"/>
      <c r="I19" s="281">
        <f>+[31]Sheet1!I19</f>
        <v>0</v>
      </c>
      <c r="J19" s="31"/>
      <c r="K19" s="15"/>
      <c r="L19" s="15"/>
      <c r="M19" s="508" t="str">
        <f>+[31]Sheet1!M19</f>
        <v>ลงนามในสัญญาแล้ว เลขที่ 5/2559 ลง 17 พ.ย.2558 ครบกำหนดวันที่ 17 ธ.ค.2558 อยู่ระหว่างทำ Po</v>
      </c>
      <c r="N19" s="407">
        <v>1</v>
      </c>
      <c r="O19" s="400"/>
      <c r="P19" s="400"/>
      <c r="Q19" s="400"/>
      <c r="R19" s="400"/>
      <c r="S19" s="400"/>
    </row>
    <row r="20" spans="1:46" s="16" customFormat="1" x14ac:dyDescent="0.2">
      <c r="A20" s="14"/>
      <c r="B20" s="476"/>
      <c r="C20" s="476"/>
      <c r="D20" s="476"/>
      <c r="E20" s="477"/>
      <c r="F20" s="611"/>
      <c r="G20" s="31"/>
      <c r="H20" s="31"/>
      <c r="I20" s="31"/>
      <c r="J20" s="31"/>
      <c r="K20" s="15"/>
      <c r="L20" s="15"/>
      <c r="M20" s="31"/>
      <c r="N20" s="417"/>
      <c r="O20" s="400"/>
      <c r="P20" s="400"/>
      <c r="Q20" s="400"/>
      <c r="R20" s="400"/>
      <c r="S20" s="400"/>
    </row>
    <row r="21" spans="1:46" s="12" customFormat="1" ht="22.5" thickBot="1" x14ac:dyDescent="0.55000000000000004">
      <c r="A21" s="232">
        <f>+A19</f>
        <v>9</v>
      </c>
      <c r="B21" s="232"/>
      <c r="C21" s="232"/>
      <c r="D21" s="232"/>
      <c r="E21" s="233" t="s">
        <v>58</v>
      </c>
      <c r="F21" s="297">
        <f>SUM(F11:F20)</f>
        <v>983900</v>
      </c>
      <c r="G21" s="234">
        <f>SUM(G20:G20)</f>
        <v>0</v>
      </c>
      <c r="H21" s="234">
        <f>SUM(H20:H20)</f>
        <v>0</v>
      </c>
      <c r="I21" s="234"/>
      <c r="J21" s="234">
        <f>SUM(J20:J20)</f>
        <v>0</v>
      </c>
      <c r="K21" s="234">
        <f>SUM(K20:K20)</f>
        <v>0</v>
      </c>
      <c r="L21" s="234">
        <f>SUM(L20:L20)</f>
        <v>0</v>
      </c>
      <c r="M21" s="234"/>
      <c r="N21" s="421"/>
      <c r="O21" s="397">
        <f>+F21+G21</f>
        <v>983900</v>
      </c>
      <c r="P21" s="398"/>
      <c r="Q21" s="398"/>
      <c r="R21" s="399"/>
      <c r="S21" s="399"/>
    </row>
    <row r="22" spans="1:46" s="16" customFormat="1" ht="22.5" hidden="1" thickBot="1" x14ac:dyDescent="0.25">
      <c r="A22" s="14"/>
      <c r="B22" s="14"/>
      <c r="C22" s="14"/>
      <c r="D22" s="14"/>
      <c r="E22" s="27" t="s">
        <v>59</v>
      </c>
      <c r="F22" s="30"/>
      <c r="G22" s="31"/>
      <c r="H22" s="31"/>
      <c r="I22" s="31"/>
      <c r="J22" s="31"/>
      <c r="K22" s="15"/>
      <c r="L22" s="15"/>
      <c r="M22" s="31"/>
      <c r="N22" s="417"/>
      <c r="O22" s="400"/>
      <c r="P22" s="400"/>
      <c r="Q22" s="400"/>
      <c r="R22" s="400"/>
      <c r="S22" s="400"/>
    </row>
    <row r="23" spans="1:46" s="16" customFormat="1" ht="22.5" hidden="1" thickBot="1" x14ac:dyDescent="0.25">
      <c r="A23" s="14"/>
      <c r="B23" s="14"/>
      <c r="C23" s="14"/>
      <c r="D23" s="14"/>
      <c r="E23" s="27"/>
      <c r="F23" s="30"/>
      <c r="G23" s="31"/>
      <c r="H23" s="31"/>
      <c r="I23" s="31"/>
      <c r="J23" s="31"/>
      <c r="K23" s="15"/>
      <c r="L23" s="15"/>
      <c r="M23" s="31"/>
      <c r="N23" s="417"/>
      <c r="O23" s="400"/>
      <c r="P23" s="400"/>
      <c r="Q23" s="400"/>
      <c r="R23" s="400"/>
      <c r="S23" s="400"/>
    </row>
    <row r="24" spans="1:46" s="16" customFormat="1" ht="22.5" hidden="1" thickBot="1" x14ac:dyDescent="0.25">
      <c r="A24" s="14"/>
      <c r="B24" s="14"/>
      <c r="C24" s="14"/>
      <c r="D24" s="14"/>
      <c r="E24" s="477"/>
      <c r="F24" s="501"/>
      <c r="G24" s="31"/>
      <c r="H24" s="31"/>
      <c r="I24" s="31"/>
      <c r="J24" s="31"/>
      <c r="K24" s="15"/>
      <c r="L24" s="15"/>
      <c r="M24" s="31"/>
      <c r="N24" s="417"/>
      <c r="O24" s="400"/>
      <c r="P24" s="400"/>
      <c r="Q24" s="400"/>
      <c r="R24" s="400"/>
      <c r="S24" s="400"/>
    </row>
    <row r="25" spans="1:46" s="16" customFormat="1" ht="22.5" hidden="1" thickBot="1" x14ac:dyDescent="0.55000000000000004">
      <c r="A25" s="235"/>
      <c r="B25" s="235"/>
      <c r="C25" s="235"/>
      <c r="D25" s="235"/>
      <c r="E25" s="236" t="s">
        <v>60</v>
      </c>
      <c r="F25" s="298">
        <f>SUM(F23:F24)</f>
        <v>0</v>
      </c>
      <c r="G25" s="237">
        <f>SUM(G23:G24)</f>
        <v>0</v>
      </c>
      <c r="H25" s="237">
        <f>SUM(H23:H24)</f>
        <v>0</v>
      </c>
      <c r="I25" s="237"/>
      <c r="J25" s="237">
        <f>SUM(J23:J24)</f>
        <v>0</v>
      </c>
      <c r="K25" s="237">
        <f>SUM(K23:K24)</f>
        <v>0</v>
      </c>
      <c r="L25" s="237">
        <f>SUM(L23:L24)</f>
        <v>0</v>
      </c>
      <c r="M25" s="237"/>
      <c r="N25" s="422"/>
      <c r="O25" s="402">
        <f>+F25+G25</f>
        <v>0</v>
      </c>
      <c r="P25" s="398"/>
      <c r="Q25" s="398"/>
      <c r="R25" s="400"/>
      <c r="S25" s="400"/>
    </row>
    <row r="26" spans="1:46" s="480" customFormat="1" ht="22.5" thickBot="1" x14ac:dyDescent="0.55000000000000004">
      <c r="A26" s="238">
        <f>+A21+A25</f>
        <v>9</v>
      </c>
      <c r="B26" s="239"/>
      <c r="C26" s="239"/>
      <c r="D26" s="239"/>
      <c r="E26" s="239" t="s">
        <v>516</v>
      </c>
      <c r="F26" s="299">
        <f>F21+F25</f>
        <v>983900</v>
      </c>
      <c r="G26" s="240">
        <f>+G21+G25</f>
        <v>0</v>
      </c>
      <c r="H26" s="240">
        <f>+H21+H25</f>
        <v>0</v>
      </c>
      <c r="I26" s="240"/>
      <c r="J26" s="240">
        <f>J21+J25</f>
        <v>0</v>
      </c>
      <c r="K26" s="240">
        <f>K21+K25</f>
        <v>0</v>
      </c>
      <c r="L26" s="240">
        <f>L21+L25</f>
        <v>0</v>
      </c>
      <c r="M26" s="240"/>
      <c r="N26" s="418"/>
      <c r="O26" s="397">
        <f>+O21+O25</f>
        <v>983900</v>
      </c>
      <c r="P26" s="479"/>
      <c r="Q26" s="479"/>
      <c r="R26" s="399"/>
      <c r="S26" s="399"/>
      <c r="T26" s="12"/>
      <c r="U26" s="12"/>
      <c r="V26" s="12"/>
      <c r="W26" s="12"/>
      <c r="X26" s="12"/>
      <c r="Y26" s="12"/>
      <c r="Z26" s="12"/>
      <c r="AA26" s="12"/>
    </row>
    <row r="27" spans="1:46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  <c r="N27" s="417"/>
      <c r="O27" s="400"/>
      <c r="P27" s="400"/>
      <c r="Q27" s="400"/>
      <c r="R27" s="400"/>
      <c r="S27" s="400"/>
    </row>
    <row r="28" spans="1:46" s="16" customFormat="1" x14ac:dyDescent="0.5">
      <c r="A28" s="481"/>
      <c r="B28" s="481"/>
      <c r="C28" s="481"/>
      <c r="D28" s="481"/>
      <c r="E28" s="482"/>
      <c r="F28" s="32"/>
      <c r="G28" s="375"/>
      <c r="H28" s="375"/>
      <c r="I28" s="375"/>
      <c r="J28" s="375"/>
      <c r="K28" s="376"/>
      <c r="L28" s="376"/>
      <c r="M28" s="375"/>
      <c r="N28" s="417"/>
      <c r="O28" s="400"/>
      <c r="P28" s="400"/>
      <c r="Q28" s="400"/>
      <c r="R28" s="400"/>
      <c r="S28" s="400"/>
    </row>
    <row r="30" spans="1:46" s="77" customFormat="1" ht="22.5" thickBot="1" x14ac:dyDescent="0.55000000000000004">
      <c r="A30" s="483"/>
      <c r="B30" s="483"/>
      <c r="C30" s="483"/>
      <c r="D30" s="483"/>
      <c r="E30" s="77" t="s">
        <v>64</v>
      </c>
      <c r="F30" s="78"/>
      <c r="G30" s="229"/>
      <c r="H30" s="119"/>
      <c r="I30" s="119"/>
      <c r="J30" s="119"/>
      <c r="K30" s="484"/>
      <c r="L30" s="484"/>
      <c r="M30" s="119"/>
      <c r="N30" s="610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ht="22.5" thickTop="1" x14ac:dyDescent="0.5">
      <c r="A31" s="483"/>
      <c r="B31" s="483"/>
      <c r="C31" s="483"/>
      <c r="D31" s="483"/>
      <c r="E31" s="77" t="s">
        <v>65</v>
      </c>
      <c r="F31" s="270"/>
      <c r="G31" s="119"/>
      <c r="H31" s="119"/>
      <c r="I31" s="119"/>
      <c r="J31" s="119"/>
      <c r="K31" s="484"/>
      <c r="L31" s="484"/>
      <c r="M31" s="119"/>
      <c r="N31" s="610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E32" s="77" t="s">
        <v>66</v>
      </c>
      <c r="F32" s="270"/>
      <c r="G32" s="119"/>
      <c r="H32" s="119"/>
      <c r="I32" s="119"/>
      <c r="J32" s="119"/>
      <c r="K32" s="484"/>
      <c r="L32" s="484"/>
      <c r="M32" s="119"/>
      <c r="N32" s="610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E33" s="77" t="s">
        <v>67</v>
      </c>
      <c r="F33" s="270"/>
      <c r="G33" s="119"/>
      <c r="H33" s="119"/>
      <c r="I33" s="119"/>
      <c r="J33" s="119"/>
      <c r="K33" s="484"/>
      <c r="L33" s="484"/>
      <c r="M33" s="119"/>
      <c r="N33" s="610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</sheetData>
  <autoFilter ref="N1:N33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pageMargins left="0.47244094488188981" right="0.47244094488188981" top="0.78740157480314965" bottom="0.59055118110236227" header="0.31496062992125984" footer="0.31496062992125984"/>
  <pageSetup paperSize="9" scale="85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workbookViewId="0">
      <selection activeCell="A3" sqref="A3:M3"/>
    </sheetView>
  </sheetViews>
  <sheetFormatPr defaultColWidth="9.140625" defaultRowHeight="21.75" x14ac:dyDescent="0.5"/>
  <cols>
    <col min="1" max="1" width="5.85546875" style="617" customWidth="1"/>
    <col min="2" max="3" width="6.85546875" style="617" customWidth="1"/>
    <col min="4" max="4" width="8.42578125" style="617" customWidth="1"/>
    <col min="5" max="5" width="43" style="460" customWidth="1"/>
    <col min="6" max="6" width="16.85546875" style="559" customWidth="1"/>
    <col min="7" max="7" width="17.42578125" style="488" customWidth="1"/>
    <col min="8" max="8" width="17.42578125" style="488" hidden="1" customWidth="1"/>
    <col min="9" max="9" width="32.28515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7109375" style="488" customWidth="1"/>
    <col min="14" max="14" width="33.85546875" style="12" customWidth="1"/>
    <col min="15" max="25" width="9.140625" style="12"/>
    <col min="26" max="16384" width="9.140625" style="460"/>
  </cols>
  <sheetData>
    <row r="1" spans="1:36" ht="27.75" x14ac:dyDescent="0.65">
      <c r="A1" s="655" t="s">
        <v>679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x14ac:dyDescent="0.5">
      <c r="A3" s="656" t="s">
        <v>685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</row>
    <row r="4" spans="1:36" x14ac:dyDescent="0.5">
      <c r="A4" s="460"/>
      <c r="B4" s="460"/>
      <c r="C4" s="460"/>
      <c r="D4" s="460"/>
      <c r="F4" s="654"/>
      <c r="G4" s="654"/>
      <c r="H4" s="617"/>
      <c r="I4" s="617"/>
      <c r="J4" s="616"/>
      <c r="M4" s="617"/>
      <c r="N4" s="618"/>
      <c r="O4" s="618"/>
    </row>
    <row r="5" spans="1:36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75</v>
      </c>
      <c r="J5" s="643" t="s">
        <v>50</v>
      </c>
      <c r="K5" s="643" t="s">
        <v>51</v>
      </c>
      <c r="L5" s="657" t="s">
        <v>52</v>
      </c>
      <c r="M5" s="651" t="s">
        <v>678</v>
      </c>
      <c r="N5" s="642" t="s">
        <v>53</v>
      </c>
      <c r="O5" s="642" t="s">
        <v>54</v>
      </c>
    </row>
    <row r="6" spans="1:36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642"/>
      <c r="O6" s="642"/>
    </row>
    <row r="7" spans="1:36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642"/>
      <c r="O7" s="642"/>
    </row>
    <row r="8" spans="1:36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642"/>
      <c r="O8" s="642"/>
    </row>
    <row r="9" spans="1:36" x14ac:dyDescent="0.5">
      <c r="A9" s="10"/>
      <c r="B9" s="10"/>
      <c r="C9" s="10"/>
      <c r="D9" s="10"/>
      <c r="E9" s="29" t="s">
        <v>24</v>
      </c>
      <c r="F9" s="10"/>
      <c r="G9" s="100"/>
      <c r="H9" s="100"/>
      <c r="I9" s="100"/>
      <c r="J9" s="100"/>
      <c r="K9" s="468"/>
      <c r="L9" s="468"/>
      <c r="M9" s="100"/>
    </row>
    <row r="10" spans="1:36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</row>
    <row r="11" spans="1:36" s="16" customFormat="1" ht="43.5" x14ac:dyDescent="0.2">
      <c r="A11" s="14">
        <v>1</v>
      </c>
      <c r="B11" s="261"/>
      <c r="C11" s="261" t="s">
        <v>674</v>
      </c>
      <c r="D11" s="261" t="s">
        <v>24</v>
      </c>
      <c r="E11" s="473" t="s">
        <v>670</v>
      </c>
      <c r="F11" s="474">
        <v>1771000000</v>
      </c>
      <c r="G11" s="31"/>
      <c r="H11" s="31"/>
      <c r="I11" s="31"/>
      <c r="J11" s="31"/>
      <c r="K11" s="15"/>
      <c r="L11" s="15"/>
      <c r="M11" s="31"/>
    </row>
    <row r="12" spans="1:36" s="16" customFormat="1" x14ac:dyDescent="0.2">
      <c r="A12" s="14"/>
      <c r="B12" s="476"/>
      <c r="C12" s="476"/>
      <c r="D12" s="476"/>
      <c r="E12" s="477"/>
      <c r="F12" s="478"/>
      <c r="G12" s="31"/>
      <c r="H12" s="31"/>
      <c r="I12" s="31"/>
      <c r="J12" s="31"/>
      <c r="K12" s="15"/>
      <c r="L12" s="15"/>
      <c r="M12" s="31"/>
    </row>
    <row r="13" spans="1:36" s="12" customFormat="1" ht="22.5" thickBot="1" x14ac:dyDescent="0.55000000000000004">
      <c r="A13" s="232">
        <f>+A11</f>
        <v>1</v>
      </c>
      <c r="B13" s="232"/>
      <c r="C13" s="232"/>
      <c r="D13" s="232"/>
      <c r="E13" s="233" t="s">
        <v>58</v>
      </c>
      <c r="F13" s="297">
        <f>SUM(F11:F12)</f>
        <v>1771000000</v>
      </c>
      <c r="G13" s="234">
        <f>SUM(G12:G12)</f>
        <v>0</v>
      </c>
      <c r="H13" s="234">
        <f>SUM(H12:H12)</f>
        <v>0</v>
      </c>
      <c r="I13" s="234"/>
      <c r="J13" s="234">
        <f>SUM(J12:J12)</f>
        <v>0</v>
      </c>
      <c r="K13" s="234">
        <f>SUM(K12:K12)</f>
        <v>0</v>
      </c>
      <c r="L13" s="234">
        <f>SUM(L12:L12)</f>
        <v>0</v>
      </c>
      <c r="M13" s="234"/>
      <c r="N13" s="231"/>
      <c r="O13" s="231"/>
    </row>
    <row r="14" spans="1:36" s="16" customFormat="1" hidden="1" x14ac:dyDescent="0.2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1"/>
    </row>
    <row r="15" spans="1:36" s="16" customFormat="1" hidden="1" x14ac:dyDescent="0.2">
      <c r="A15" s="261"/>
      <c r="B15" s="261"/>
      <c r="C15" s="554"/>
      <c r="D15" s="261"/>
      <c r="E15" s="533"/>
      <c r="F15" s="534"/>
      <c r="G15" s="281"/>
      <c r="H15" s="281"/>
      <c r="I15" s="281"/>
      <c r="J15" s="31"/>
      <c r="K15" s="15"/>
      <c r="L15" s="15"/>
      <c r="M15" s="281"/>
    </row>
    <row r="16" spans="1:36" s="16" customFormat="1" hidden="1" x14ac:dyDescent="0.2">
      <c r="A16" s="261"/>
      <c r="B16" s="261"/>
      <c r="C16" s="554"/>
      <c r="D16" s="261"/>
      <c r="E16" s="533"/>
      <c r="F16" s="534"/>
      <c r="G16" s="281"/>
      <c r="H16" s="281"/>
      <c r="I16" s="281"/>
      <c r="J16" s="31"/>
      <c r="K16" s="15"/>
      <c r="L16" s="15"/>
      <c r="M16" s="281"/>
    </row>
    <row r="17" spans="1:25" s="16" customFormat="1" hidden="1" x14ac:dyDescent="0.2">
      <c r="A17" s="14"/>
      <c r="B17" s="14"/>
      <c r="C17" s="554"/>
      <c r="D17" s="261"/>
      <c r="E17" s="555"/>
      <c r="F17" s="534"/>
      <c r="G17" s="31"/>
      <c r="H17" s="31"/>
      <c r="I17" s="31"/>
      <c r="J17" s="31"/>
      <c r="K17" s="15"/>
      <c r="L17" s="15"/>
      <c r="M17" s="31"/>
    </row>
    <row r="18" spans="1:25" s="16" customFormat="1" hidden="1" x14ac:dyDescent="0.2">
      <c r="A18" s="14"/>
      <c r="B18" s="14"/>
      <c r="C18" s="14"/>
      <c r="D18" s="14"/>
      <c r="E18" s="477"/>
      <c r="F18" s="496"/>
      <c r="G18" s="31"/>
      <c r="H18" s="31"/>
      <c r="I18" s="31"/>
      <c r="J18" s="31"/>
      <c r="K18" s="15"/>
      <c r="L18" s="15"/>
      <c r="M18" s="31"/>
    </row>
    <row r="19" spans="1:25" s="16" customFormat="1" ht="22.5" hidden="1" thickBot="1" x14ac:dyDescent="0.55000000000000004">
      <c r="A19" s="235">
        <f>+A17</f>
        <v>0</v>
      </c>
      <c r="B19" s="235"/>
      <c r="C19" s="235"/>
      <c r="D19" s="235"/>
      <c r="E19" s="236" t="s">
        <v>60</v>
      </c>
      <c r="F19" s="298">
        <f>SUM(F17:F18)</f>
        <v>0</v>
      </c>
      <c r="G19" s="237">
        <f>SUM(G15:G18)</f>
        <v>0</v>
      </c>
      <c r="H19" s="237">
        <f>SUM(H15:H18)</f>
        <v>0</v>
      </c>
      <c r="I19" s="237"/>
      <c r="J19" s="237">
        <f>SUM(J15:J18)</f>
        <v>0</v>
      </c>
      <c r="K19" s="237">
        <f>SUM(K15:K18)</f>
        <v>0</v>
      </c>
      <c r="L19" s="237">
        <f>SUM(L15:L18)</f>
        <v>0</v>
      </c>
      <c r="M19" s="237"/>
      <c r="N19" s="231"/>
      <c r="O19" s="231"/>
    </row>
    <row r="20" spans="1:25" s="480" customFormat="1" ht="22.5" thickBot="1" x14ac:dyDescent="0.55000000000000004">
      <c r="A20" s="238">
        <f>+A13+A19</f>
        <v>1</v>
      </c>
      <c r="B20" s="239"/>
      <c r="C20" s="239"/>
      <c r="D20" s="239"/>
      <c r="E20" s="239" t="s">
        <v>398</v>
      </c>
      <c r="F20" s="299">
        <f>F13+F19</f>
        <v>1771000000</v>
      </c>
      <c r="G20" s="240">
        <f>+G13+G19</f>
        <v>0</v>
      </c>
      <c r="H20" s="240">
        <f>+H13+H19</f>
        <v>0</v>
      </c>
      <c r="I20" s="240"/>
      <c r="J20" s="240">
        <f>J13+J19</f>
        <v>0</v>
      </c>
      <c r="K20" s="240">
        <f>K13+K19</f>
        <v>0</v>
      </c>
      <c r="L20" s="240">
        <f>L13+L19</f>
        <v>0</v>
      </c>
      <c r="M20" s="240"/>
      <c r="N20" s="619"/>
      <c r="O20" s="619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16" customFormat="1" x14ac:dyDescent="0.2">
      <c r="A21" s="481"/>
      <c r="B21" s="481"/>
      <c r="C21" s="481"/>
      <c r="D21" s="481"/>
      <c r="E21" s="482"/>
      <c r="F21" s="558"/>
      <c r="G21" s="375"/>
      <c r="H21" s="375"/>
      <c r="I21" s="375"/>
      <c r="J21" s="375"/>
      <c r="K21" s="376"/>
      <c r="L21" s="376"/>
      <c r="M21" s="375"/>
    </row>
    <row r="22" spans="1:25" s="16" customFormat="1" x14ac:dyDescent="0.2">
      <c r="A22" s="481"/>
      <c r="B22" s="481"/>
      <c r="C22" s="481"/>
      <c r="D22" s="481"/>
      <c r="E22" s="482"/>
      <c r="F22" s="558"/>
      <c r="G22" s="375"/>
      <c r="H22" s="375"/>
      <c r="I22" s="375"/>
      <c r="J22" s="375"/>
      <c r="K22" s="376"/>
      <c r="L22" s="376"/>
      <c r="M22" s="375"/>
    </row>
    <row r="23" spans="1:25" s="16" customFormat="1" x14ac:dyDescent="0.2">
      <c r="A23" s="481"/>
      <c r="B23" s="481"/>
      <c r="C23" s="481"/>
      <c r="D23" s="481"/>
      <c r="E23" s="482"/>
      <c r="F23" s="558"/>
      <c r="G23" s="375"/>
      <c r="H23" s="375"/>
      <c r="I23" s="375"/>
      <c r="J23" s="375"/>
      <c r="K23" s="376"/>
      <c r="L23" s="376"/>
      <c r="M23" s="375"/>
    </row>
    <row r="24" spans="1:25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</row>
    <row r="25" spans="1:25" s="16" customFormat="1" x14ac:dyDescent="0.2">
      <c r="A25" s="481"/>
      <c r="B25" s="481"/>
      <c r="C25" s="481"/>
      <c r="D25" s="481"/>
      <c r="E25" s="482"/>
      <c r="F25" s="558"/>
      <c r="G25" s="375"/>
      <c r="H25" s="375"/>
      <c r="I25" s="375"/>
      <c r="J25" s="375"/>
      <c r="K25" s="376"/>
      <c r="L25" s="376"/>
      <c r="M25" s="375"/>
    </row>
    <row r="26" spans="1:25" s="16" customFormat="1" x14ac:dyDescent="0.2">
      <c r="A26" s="481"/>
      <c r="B26" s="481"/>
      <c r="C26" s="481"/>
      <c r="D26" s="481"/>
      <c r="E26" s="482"/>
      <c r="F26" s="558"/>
      <c r="G26" s="375"/>
      <c r="H26" s="375"/>
      <c r="I26" s="375"/>
      <c r="J26" s="375"/>
      <c r="K26" s="376"/>
      <c r="L26" s="376"/>
      <c r="M26" s="375"/>
    </row>
    <row r="27" spans="1:25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</row>
    <row r="28" spans="1:25" s="16" customFormat="1" x14ac:dyDescent="0.2">
      <c r="A28" s="481"/>
      <c r="B28" s="481"/>
      <c r="C28" s="481"/>
      <c r="D28" s="481"/>
      <c r="E28" s="482"/>
      <c r="F28" s="558"/>
      <c r="G28" s="375"/>
      <c r="H28" s="375"/>
      <c r="I28" s="375"/>
      <c r="J28" s="375"/>
      <c r="K28" s="376"/>
      <c r="L28" s="376"/>
      <c r="M28" s="375"/>
    </row>
    <row r="29" spans="1:25" s="16" customFormat="1" x14ac:dyDescent="0.2">
      <c r="A29" s="481"/>
      <c r="B29" s="481"/>
      <c r="C29" s="481"/>
      <c r="D29" s="481"/>
      <c r="E29" s="482"/>
      <c r="F29" s="558"/>
      <c r="G29" s="375"/>
      <c r="H29" s="375"/>
      <c r="I29" s="375"/>
      <c r="J29" s="375"/>
      <c r="K29" s="376"/>
      <c r="L29" s="376"/>
      <c r="M29" s="375"/>
    </row>
    <row r="30" spans="1:25" s="16" customFormat="1" x14ac:dyDescent="0.2">
      <c r="A30" s="481"/>
      <c r="B30" s="481"/>
      <c r="C30" s="481"/>
      <c r="D30" s="481"/>
      <c r="E30" s="482"/>
      <c r="F30" s="558"/>
      <c r="G30" s="375"/>
      <c r="H30" s="375"/>
      <c r="I30" s="375"/>
      <c r="J30" s="375"/>
      <c r="K30" s="376"/>
      <c r="L30" s="376"/>
      <c r="M30" s="375"/>
    </row>
    <row r="31" spans="1:25" s="16" customFormat="1" x14ac:dyDescent="0.2">
      <c r="A31" s="481"/>
      <c r="B31" s="481"/>
      <c r="C31" s="481"/>
      <c r="D31" s="481"/>
      <c r="E31" s="482"/>
      <c r="F31" s="558"/>
      <c r="G31" s="375"/>
      <c r="H31" s="375"/>
      <c r="I31" s="375"/>
      <c r="J31" s="375"/>
      <c r="K31" s="376"/>
      <c r="L31" s="376"/>
      <c r="M31" s="375"/>
    </row>
    <row r="32" spans="1:25" s="16" customFormat="1" x14ac:dyDescent="0.2">
      <c r="A32" s="481"/>
      <c r="B32" s="481"/>
      <c r="C32" s="481"/>
      <c r="D32" s="481"/>
      <c r="E32" s="482"/>
      <c r="F32" s="558"/>
      <c r="G32" s="375"/>
      <c r="H32" s="375"/>
      <c r="I32" s="375"/>
      <c r="J32" s="375"/>
      <c r="K32" s="376"/>
      <c r="L32" s="376"/>
      <c r="M32" s="375"/>
    </row>
    <row r="33" spans="1:44" s="16" customFormat="1" x14ac:dyDescent="0.2">
      <c r="A33" s="481"/>
      <c r="B33" s="481"/>
      <c r="C33" s="481"/>
      <c r="D33" s="481"/>
      <c r="E33" s="482"/>
      <c r="F33" s="558"/>
      <c r="G33" s="375"/>
      <c r="H33" s="375"/>
      <c r="I33" s="375"/>
      <c r="J33" s="375"/>
      <c r="K33" s="376"/>
      <c r="L33" s="376"/>
      <c r="M33" s="375"/>
    </row>
    <row r="34" spans="1:44" s="16" customFormat="1" x14ac:dyDescent="0.5">
      <c r="A34" s="481"/>
      <c r="B34" s="481"/>
      <c r="C34" s="481"/>
      <c r="D34" s="481"/>
      <c r="E34" s="621" t="s">
        <v>61</v>
      </c>
      <c r="F34" s="622">
        <f>SUM(บช.น.!F27+ภ.1!F18+ภ.2!F23+ภ.4!F21+ภ.6!F17+ภ.7!F15+ภ.9!F19+ศชต.!F27+บช.ก.!F34+บช.ปส.!F28+บช.ส.!F16+สตม.!F22+บช.ตชด.!F38+สง.นรป.!F13+สพฐ.ตร.!F19+สทส.!F22+บช.ศ.!F25+รร.นรต.!F18+รพ.ตร.!F17+สยศ.ตร.!F14+สกบ.!F44+สกพ.!F12+สงป.!F13+กมค.!F19+สง.ก.ตร.!F16+จต.!F13+สตส.!F13+สท.!F19+สง.ก.ต.ช.!F13+บ.ตร.!F22+วน.!F15)</f>
        <v>3115126100</v>
      </c>
      <c r="G34" s="415" t="s">
        <v>62</v>
      </c>
      <c r="H34" s="415"/>
      <c r="I34" s="375"/>
      <c r="J34" s="380">
        <f>SUM(บช.น.!A27+ภ.1!A18+ภ.2!A23+ภ.4!A21+ภ.6!A17+ภ.7!A15+ภ.9!A19+ศชต.!A27+ภ.5!A28+ภ.8!A27+บช.ก.!A34+บช.ปส.!A28+บช.ส.!A16+สตม.!A22+บช.ตชด.!A38+สง.นรป.!A13+สพฐ.ตร.!A19+สทส.!A22+บช.ศ.!A25+รร.นรต.!A18+รพ.ตร.!A17+สยศ.ตร.!A14+สกบ.!A44+สกพ.!A12+สงป.!A13+กมค.!A19+สง.ก.ตร.!A16+จต.!A13+สตส.!A13+สท.!A19+สง.ก.ต.ช.!A13+บ.ตร.!A22+วน.!A15+สลก.ตร.!A19+ตท.!A21)</f>
        <v>275</v>
      </c>
      <c r="K34" s="376"/>
      <c r="L34" s="376"/>
      <c r="M34" s="375"/>
    </row>
    <row r="35" spans="1:44" x14ac:dyDescent="0.5">
      <c r="E35" s="623" t="s">
        <v>63</v>
      </c>
      <c r="F35" s="624">
        <f>SUM(บช.น.!F31+ภ.1!F22+ภ.2!F29+ภ.3!F21+ภ.4!F25+ภ.5!F36+ภ.6!F33+ภ.7!F19+ภ.8!F35+ภ.9!F25+ศชต.!F54+บช.ก.!F38+บช.ส.!F22+สตม.!F33+บช.ตชด.!F82+สพฐ.ตร.!F25+สทส.!F27+บช.ศ.!F37+รพ.ตร.!F21+สกบ.!F54+สกพ.!F18+กมค.!F24+บ.ตร.!F29)</f>
        <v>1613643200</v>
      </c>
      <c r="G35" s="415" t="s">
        <v>62</v>
      </c>
      <c r="H35" s="415"/>
      <c r="I35" s="375"/>
      <c r="J35" s="620">
        <f>SUM(บช.น.!A31+ภ.1!A22+ภ.2!A29+ภ.3!A21+ภ.4!A25+ภ.5!A36+ภ.6!A33+ภ.7!A19+ภ.8!A35+ภ.9!A25+ศชต.!A54+บช.ก.!A38+บช.ปส.!A43+บช.ส.!A22+สตม.!A33+บช.ตชด.!A82+สง.นรป.!A17+สพฐ.ตร.!A25+สทส.!A27+บช.ศ.!A37+รร.นรต.!A22+รพ.ตร.!A21+สยศ.ตร.!A18+สกบ.!A54+สกพ.!A18+สงป.!A17+กมค.!A24+สง.ก.ตร.!A20+จต.!A17+สตส.!A17+สลก.ตร.!A23+ตท.!A25+สท.!A23+สง.ก.ต.ช.!A17+บ.ตร.!A29+วน.!A19)</f>
        <v>141</v>
      </c>
      <c r="M35" s="375"/>
    </row>
    <row r="36" spans="1:44" s="77" customFormat="1" ht="22.5" thickBot="1" x14ac:dyDescent="0.55000000000000004">
      <c r="A36" s="483"/>
      <c r="B36" s="483"/>
      <c r="C36" s="483"/>
      <c r="D36" s="483"/>
      <c r="E36" s="461" t="s">
        <v>64</v>
      </c>
      <c r="F36" s="625"/>
      <c r="G36" s="626"/>
      <c r="H36" s="627"/>
      <c r="I36" s="119"/>
      <c r="J36" s="119"/>
      <c r="K36" s="484"/>
      <c r="L36" s="484"/>
      <c r="M36" s="119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</row>
    <row r="37" spans="1:44" s="77" customFormat="1" ht="22.5" thickTop="1" x14ac:dyDescent="0.5">
      <c r="A37" s="483"/>
      <c r="B37" s="483"/>
      <c r="C37" s="483"/>
      <c r="D37" s="483"/>
      <c r="E37" s="461" t="s">
        <v>65</v>
      </c>
      <c r="F37" s="624"/>
      <c r="G37" s="627"/>
      <c r="H37" s="627"/>
      <c r="I37" s="119"/>
      <c r="J37" s="119"/>
      <c r="K37" s="484"/>
      <c r="L37" s="484"/>
      <c r="M37" s="119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</row>
    <row r="38" spans="1:44" s="77" customFormat="1" x14ac:dyDescent="0.5">
      <c r="A38" s="483"/>
      <c r="B38" s="483"/>
      <c r="C38" s="483"/>
      <c r="D38" s="483"/>
      <c r="E38" s="461" t="s">
        <v>66</v>
      </c>
      <c r="F38" s="624"/>
      <c r="G38" s="627"/>
      <c r="H38" s="627"/>
      <c r="I38" s="119"/>
      <c r="J38" s="119"/>
      <c r="K38" s="484"/>
      <c r="L38" s="484"/>
      <c r="M38" s="119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</row>
    <row r="39" spans="1:44" s="77" customFormat="1" x14ac:dyDescent="0.5">
      <c r="A39" s="483"/>
      <c r="B39" s="483"/>
      <c r="C39" s="483"/>
      <c r="D39" s="483"/>
      <c r="E39" s="461" t="s">
        <v>67</v>
      </c>
      <c r="F39" s="624"/>
      <c r="G39" s="627"/>
      <c r="H39" s="627"/>
      <c r="I39" s="119"/>
      <c r="J39" s="119"/>
      <c r="K39" s="484"/>
      <c r="L39" s="484"/>
      <c r="M39" s="119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</row>
    <row r="40" spans="1:44" x14ac:dyDescent="0.5">
      <c r="E40" s="461"/>
      <c r="F40" s="624"/>
      <c r="G40" s="627"/>
      <c r="H40" s="627"/>
    </row>
  </sheetData>
  <mergeCells count="20">
    <mergeCell ref="O5:O8"/>
    <mergeCell ref="F6:F8"/>
    <mergeCell ref="G6:G8"/>
    <mergeCell ref="H6:H8"/>
    <mergeCell ref="I5:I8"/>
    <mergeCell ref="J5:J8"/>
    <mergeCell ref="K5:K8"/>
    <mergeCell ref="L5:L8"/>
    <mergeCell ref="M5:M8"/>
    <mergeCell ref="N5:N8"/>
    <mergeCell ref="A1:M1"/>
    <mergeCell ref="A2:M2"/>
    <mergeCell ref="A3:M3"/>
    <mergeCell ref="F4:G4"/>
    <mergeCell ref="A5:A8"/>
    <mergeCell ref="B5:B8"/>
    <mergeCell ref="C5:C8"/>
    <mergeCell ref="D5:D8"/>
    <mergeCell ref="E5:E8"/>
    <mergeCell ref="F5:H5"/>
  </mergeCells>
  <pageMargins left="0.51181102362204722" right="0.51181102362204722" top="0.74803149606299213" bottom="0.74803149606299213" header="0.31496062992125984" footer="0.31496062992125984"/>
  <pageSetup paperSize="9" scale="82" orientation="landscape" blackAndWhite="1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1"/>
  <sheetViews>
    <sheetView topLeftCell="A4"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5703125" style="559" customWidth="1"/>
    <col min="7" max="7" width="15.42578125" style="488" customWidth="1"/>
    <col min="8" max="8" width="15.42578125" style="488" hidden="1" customWidth="1"/>
    <col min="9" max="9" width="26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8.14062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04"/>
      <c r="O2" s="402" t="s">
        <v>69</v>
      </c>
      <c r="P2" s="399">
        <v>6</v>
      </c>
      <c r="Q2" s="397">
        <f>SUM(F11:F16)</f>
        <v>728000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04"/>
      <c r="O3" s="400" t="s">
        <v>72</v>
      </c>
      <c r="P3" s="461">
        <v>1</v>
      </c>
      <c r="Q3" s="462">
        <f>+F17</f>
        <v>3014700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54"/>
      <c r="G4" s="654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ht="21.75" customHeight="1" x14ac:dyDescent="0.5">
      <c r="A9" s="10"/>
      <c r="B9" s="10"/>
      <c r="C9" s="10"/>
      <c r="D9" s="10"/>
      <c r="E9" s="29" t="s">
        <v>38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65.25" x14ac:dyDescent="0.2">
      <c r="A11" s="261">
        <v>1</v>
      </c>
      <c r="B11" s="261"/>
      <c r="C11" s="554" t="s">
        <v>80</v>
      </c>
      <c r="D11" s="261" t="s">
        <v>38</v>
      </c>
      <c r="E11" s="533" t="s">
        <v>517</v>
      </c>
      <c r="F11" s="534">
        <v>510000</v>
      </c>
      <c r="G11" s="281"/>
      <c r="H11" s="281"/>
      <c r="I11" s="281" t="str">
        <f>+[32]Sheet1!I11</f>
        <v>อยู่ระหว่างประกาศสอบราคา</v>
      </c>
      <c r="J11" s="31"/>
      <c r="K11" s="15"/>
      <c r="L11" s="15"/>
      <c r="M11" s="281" t="str">
        <f>+[32]Sheet1!M11</f>
        <v>อยู่ระหว่างประกาศสอบราคา</v>
      </c>
      <c r="N11" s="407">
        <v>1</v>
      </c>
      <c r="O11" s="400"/>
      <c r="P11" s="400"/>
      <c r="Q11" s="400"/>
      <c r="R11" s="400"/>
      <c r="S11" s="400"/>
    </row>
    <row r="12" spans="1:38" s="16" customFormat="1" ht="87" x14ac:dyDescent="0.2">
      <c r="A12" s="261">
        <v>2</v>
      </c>
      <c r="B12" s="261"/>
      <c r="C12" s="554" t="s">
        <v>80</v>
      </c>
      <c r="D12" s="261" t="s">
        <v>38</v>
      </c>
      <c r="E12" s="533" t="s">
        <v>518</v>
      </c>
      <c r="F12" s="534">
        <v>80000</v>
      </c>
      <c r="G12" s="281"/>
      <c r="H12" s="281"/>
      <c r="I12" s="281" t="str">
        <f>+[32]Sheet1!I12</f>
        <v>ขออนุมัติ</v>
      </c>
      <c r="J12" s="31"/>
      <c r="K12" s="15"/>
      <c r="L12" s="15"/>
      <c r="M12" s="281" t="str">
        <f>+[32]Sheet1!M12</f>
        <v>รอลงนาม</v>
      </c>
      <c r="N12" s="407">
        <v>1</v>
      </c>
      <c r="O12" s="400"/>
      <c r="P12" s="400"/>
      <c r="Q12" s="400"/>
      <c r="R12" s="400"/>
      <c r="S12" s="400"/>
    </row>
    <row r="13" spans="1:38" s="16" customFormat="1" ht="87" x14ac:dyDescent="0.2">
      <c r="A13" s="261">
        <v>3</v>
      </c>
      <c r="B13" s="261"/>
      <c r="C13" s="554" t="s">
        <v>80</v>
      </c>
      <c r="D13" s="261" t="s">
        <v>38</v>
      </c>
      <c r="E13" s="533" t="s">
        <v>519</v>
      </c>
      <c r="F13" s="534">
        <v>46000</v>
      </c>
      <c r="G13" s="281"/>
      <c r="H13" s="281"/>
      <c r="I13" s="281" t="str">
        <f>+[32]Sheet1!I13</f>
        <v> ขออนุมัติ </v>
      </c>
      <c r="J13" s="31"/>
      <c r="K13" s="15"/>
      <c r="L13" s="15"/>
      <c r="M13" s="281" t="str">
        <f>+[32]Sheet1!M13</f>
        <v>รอลงนาม</v>
      </c>
      <c r="N13" s="407">
        <v>1</v>
      </c>
      <c r="O13" s="400"/>
      <c r="P13" s="400"/>
      <c r="Q13" s="400"/>
      <c r="R13" s="400"/>
      <c r="S13" s="400"/>
    </row>
    <row r="14" spans="1:38" s="16" customFormat="1" ht="65.25" x14ac:dyDescent="0.2">
      <c r="A14" s="261">
        <v>4</v>
      </c>
      <c r="B14" s="261"/>
      <c r="C14" s="554" t="s">
        <v>80</v>
      </c>
      <c r="D14" s="261" t="s">
        <v>38</v>
      </c>
      <c r="E14" s="533" t="s">
        <v>520</v>
      </c>
      <c r="F14" s="534">
        <v>34000</v>
      </c>
      <c r="G14" s="281"/>
      <c r="H14" s="281"/>
      <c r="I14" s="281" t="str">
        <f>+[32]Sheet1!I14</f>
        <v>ขออนุมัติ</v>
      </c>
      <c r="J14" s="31"/>
      <c r="K14" s="15"/>
      <c r="L14" s="15"/>
      <c r="M14" s="281" t="str">
        <f>+[32]Sheet1!M14</f>
        <v>รอลงนาม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261"/>
      <c r="C15" s="554" t="s">
        <v>80</v>
      </c>
      <c r="D15" s="261" t="s">
        <v>38</v>
      </c>
      <c r="E15" s="533" t="s">
        <v>521</v>
      </c>
      <c r="F15" s="534">
        <v>20000</v>
      </c>
      <c r="G15" s="281"/>
      <c r="H15" s="281"/>
      <c r="I15" s="281" t="str">
        <f>+[32]Sheet1!I15</f>
        <v>ขออนุมัติ</v>
      </c>
      <c r="J15" s="31"/>
      <c r="K15" s="15"/>
      <c r="L15" s="15"/>
      <c r="M15" s="281" t="str">
        <f>+[32]Sheet1!M15</f>
        <v>รอลงนาม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554" t="s">
        <v>80</v>
      </c>
      <c r="D16" s="261" t="s">
        <v>38</v>
      </c>
      <c r="E16" s="533" t="s">
        <v>522</v>
      </c>
      <c r="F16" s="534">
        <v>38000</v>
      </c>
      <c r="G16" s="281"/>
      <c r="H16" s="281"/>
      <c r="I16" s="281" t="str">
        <f>+[32]Sheet1!I16</f>
        <v>ขออนุมัติ</v>
      </c>
      <c r="J16" s="31"/>
      <c r="K16" s="15"/>
      <c r="L16" s="15"/>
      <c r="M16" s="281" t="str">
        <f>+[32]Sheet1!M16</f>
        <v>รอลงนาม</v>
      </c>
      <c r="N16" s="407">
        <v>1</v>
      </c>
      <c r="O16" s="400"/>
      <c r="P16" s="400"/>
      <c r="Q16" s="400"/>
      <c r="R16" s="400"/>
      <c r="S16" s="400"/>
    </row>
    <row r="17" spans="1:46" s="16" customFormat="1" ht="65.25" x14ac:dyDescent="0.2">
      <c r="A17" s="425">
        <v>7</v>
      </c>
      <c r="B17" s="425"/>
      <c r="C17" s="557" t="s">
        <v>368</v>
      </c>
      <c r="D17" s="425" t="s">
        <v>38</v>
      </c>
      <c r="E17" s="541" t="s">
        <v>523</v>
      </c>
      <c r="F17" s="526">
        <v>3014700</v>
      </c>
      <c r="G17" s="426"/>
      <c r="H17" s="426"/>
      <c r="I17" s="426" t="str">
        <f>+[32]Sheet1!I17</f>
        <v> อยู่ในระหว่างคณะกรรมการกำหนดคุณลักษณะเฉพาะ </v>
      </c>
      <c r="J17" s="423"/>
      <c r="K17" s="535"/>
      <c r="L17" s="535"/>
      <c r="M17" s="426" t="str">
        <f>+[32]Sheet1!M17</f>
        <v> อยู่ในระหว่างคณะกรรมการกำหนดคุณลักษณะเฉพาะ </v>
      </c>
      <c r="N17" s="407">
        <v>2</v>
      </c>
      <c r="O17" s="400"/>
      <c r="P17" s="400"/>
      <c r="Q17" s="400"/>
      <c r="R17" s="400"/>
      <c r="S17" s="400"/>
    </row>
    <row r="18" spans="1:46" s="16" customFormat="1" x14ac:dyDescent="0.2">
      <c r="A18" s="14"/>
      <c r="B18" s="476"/>
      <c r="C18" s="476"/>
      <c r="D18" s="476"/>
      <c r="E18" s="477"/>
      <c r="F18" s="478"/>
      <c r="G18" s="30"/>
      <c r="H18" s="30"/>
      <c r="I18" s="30"/>
      <c r="J18" s="31"/>
      <c r="K18" s="15"/>
      <c r="L18" s="15"/>
      <c r="M18" s="30"/>
      <c r="N18" s="407"/>
      <c r="O18" s="400"/>
      <c r="P18" s="400"/>
      <c r="Q18" s="400"/>
      <c r="R18" s="400"/>
      <c r="S18" s="400"/>
    </row>
    <row r="19" spans="1:46" s="12" customFormat="1" ht="21.75" customHeight="1" thickBot="1" x14ac:dyDescent="0.55000000000000004">
      <c r="A19" s="232">
        <f>+A17</f>
        <v>7</v>
      </c>
      <c r="B19" s="232"/>
      <c r="C19" s="232"/>
      <c r="D19" s="232"/>
      <c r="E19" s="233" t="s">
        <v>58</v>
      </c>
      <c r="F19" s="297">
        <f>SUM(F11:F18)</f>
        <v>3742700</v>
      </c>
      <c r="G19" s="234">
        <f>SUM(G18:G18)</f>
        <v>0</v>
      </c>
      <c r="H19" s="234">
        <f>SUM(H18:H18)</f>
        <v>0</v>
      </c>
      <c r="I19" s="234"/>
      <c r="J19" s="234">
        <f>SUM(J18:J18)</f>
        <v>0</v>
      </c>
      <c r="K19" s="234">
        <f>SUM(K18:K18)</f>
        <v>0</v>
      </c>
      <c r="L19" s="234">
        <f>SUM(L18:L18)</f>
        <v>0</v>
      </c>
      <c r="M19" s="234"/>
      <c r="N19" s="406"/>
      <c r="O19" s="397">
        <f>+F19+G19</f>
        <v>3742700</v>
      </c>
      <c r="P19" s="398"/>
      <c r="Q19" s="398"/>
      <c r="R19" s="399"/>
      <c r="S19" s="399"/>
    </row>
    <row r="20" spans="1:46" s="16" customFormat="1" ht="22.5" hidden="1" thickBot="1" x14ac:dyDescent="0.25">
      <c r="A20" s="14"/>
      <c r="B20" s="14"/>
      <c r="C20" s="14"/>
      <c r="D20" s="14"/>
      <c r="E20" s="27" t="s">
        <v>59</v>
      </c>
      <c r="F20" s="304"/>
      <c r="G20" s="30"/>
      <c r="H20" s="30"/>
      <c r="I20" s="30"/>
      <c r="J20" s="31"/>
      <c r="K20" s="15"/>
      <c r="L20" s="15"/>
      <c r="M20" s="30"/>
      <c r="N20" s="407"/>
      <c r="O20" s="400"/>
      <c r="P20" s="400"/>
      <c r="Q20" s="400"/>
      <c r="R20" s="400"/>
      <c r="S20" s="400"/>
    </row>
    <row r="21" spans="1:46" s="16" customFormat="1" ht="22.5" hidden="1" thickBot="1" x14ac:dyDescent="0.25">
      <c r="A21" s="14"/>
      <c r="B21" s="14"/>
      <c r="C21" s="14"/>
      <c r="D21" s="14"/>
      <c r="E21" s="27"/>
      <c r="F21" s="304"/>
      <c r="G21" s="30"/>
      <c r="H21" s="30"/>
      <c r="I21" s="30"/>
      <c r="J21" s="31"/>
      <c r="K21" s="15"/>
      <c r="L21" s="15"/>
      <c r="M21" s="30"/>
      <c r="N21" s="407"/>
      <c r="O21" s="400"/>
      <c r="P21" s="400"/>
      <c r="Q21" s="400"/>
      <c r="R21" s="400"/>
      <c r="S21" s="400"/>
    </row>
    <row r="22" spans="1:46" s="16" customFormat="1" ht="22.5" hidden="1" thickBot="1" x14ac:dyDescent="0.25">
      <c r="A22" s="14"/>
      <c r="B22" s="14"/>
      <c r="C22" s="14"/>
      <c r="D22" s="14"/>
      <c r="E22" s="477"/>
      <c r="F22" s="496"/>
      <c r="G22" s="30"/>
      <c r="H22" s="30"/>
      <c r="I22" s="30"/>
      <c r="J22" s="31"/>
      <c r="K22" s="15"/>
      <c r="L22" s="15"/>
      <c r="M22" s="30"/>
      <c r="N22" s="407"/>
      <c r="O22" s="400"/>
      <c r="P22" s="400"/>
      <c r="Q22" s="400"/>
      <c r="R22" s="400"/>
      <c r="S22" s="400"/>
    </row>
    <row r="23" spans="1:46" s="16" customFormat="1" ht="22.5" hidden="1" customHeight="1" thickBot="1" x14ac:dyDescent="0.55000000000000004">
      <c r="A23" s="235"/>
      <c r="B23" s="235"/>
      <c r="C23" s="235"/>
      <c r="D23" s="235"/>
      <c r="E23" s="236" t="s">
        <v>60</v>
      </c>
      <c r="F23" s="298">
        <f>SUM(F22:F22)</f>
        <v>0</v>
      </c>
      <c r="G23" s="237">
        <f>SUM(G22:G22)</f>
        <v>0</v>
      </c>
      <c r="H23" s="237">
        <f>SUM(H22:H22)</f>
        <v>0</v>
      </c>
      <c r="I23" s="237"/>
      <c r="J23" s="237">
        <f>SUM(J22:J22)</f>
        <v>0</v>
      </c>
      <c r="K23" s="237">
        <f>SUM(K22:K22)</f>
        <v>0</v>
      </c>
      <c r="L23" s="237">
        <f>SUM(L22:L22)</f>
        <v>0</v>
      </c>
      <c r="M23" s="237"/>
      <c r="N23" s="405"/>
      <c r="O23" s="402">
        <f>+F23+G23</f>
        <v>0</v>
      </c>
      <c r="P23" s="398"/>
      <c r="Q23" s="398"/>
      <c r="R23" s="400"/>
      <c r="S23" s="400"/>
    </row>
    <row r="24" spans="1:46" s="480" customFormat="1" ht="22.5" thickBot="1" x14ac:dyDescent="0.55000000000000004">
      <c r="A24" s="238">
        <f>+A19+A23</f>
        <v>7</v>
      </c>
      <c r="B24" s="239"/>
      <c r="C24" s="239"/>
      <c r="D24" s="239"/>
      <c r="E24" s="239" t="s">
        <v>524</v>
      </c>
      <c r="F24" s="299">
        <f>F19+F23</f>
        <v>3742700</v>
      </c>
      <c r="G24" s="289">
        <f>+G19+G23</f>
        <v>0</v>
      </c>
      <c r="H24" s="289">
        <f>+H19+H23</f>
        <v>0</v>
      </c>
      <c r="I24" s="289"/>
      <c r="J24" s="240">
        <f>J19+J23</f>
        <v>0</v>
      </c>
      <c r="K24" s="240">
        <f>K19+K23</f>
        <v>0</v>
      </c>
      <c r="L24" s="240">
        <f>L19+L23</f>
        <v>0</v>
      </c>
      <c r="M24" s="289"/>
      <c r="N24" s="408"/>
      <c r="O24" s="397">
        <f>+O19+O23</f>
        <v>3742700</v>
      </c>
      <c r="P24" s="479"/>
      <c r="Q24" s="479"/>
      <c r="R24" s="399"/>
      <c r="S24" s="399"/>
      <c r="T24" s="12"/>
      <c r="U24" s="12"/>
      <c r="V24" s="12"/>
      <c r="W24" s="12"/>
      <c r="X24" s="12"/>
      <c r="Y24" s="12"/>
      <c r="Z24" s="12"/>
      <c r="AA24" s="12"/>
    </row>
    <row r="25" spans="1:46" s="16" customFormat="1" x14ac:dyDescent="0.2">
      <c r="A25" s="481"/>
      <c r="B25" s="481"/>
      <c r="C25" s="481"/>
      <c r="D25" s="481"/>
      <c r="E25" s="482"/>
      <c r="F25" s="558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6" spans="1:46" s="16" customFormat="1" x14ac:dyDescent="0.5">
      <c r="A26" s="481"/>
      <c r="B26" s="481"/>
      <c r="C26" s="481"/>
      <c r="D26" s="481"/>
      <c r="E26" s="482"/>
      <c r="F26" s="32"/>
      <c r="G26" s="375"/>
      <c r="H26" s="375"/>
      <c r="I26" s="375"/>
      <c r="J26" s="375"/>
      <c r="K26" s="376"/>
      <c r="L26" s="376"/>
      <c r="M26" s="375"/>
      <c r="N26" s="407"/>
      <c r="O26" s="400"/>
      <c r="P26" s="400"/>
      <c r="Q26" s="400"/>
      <c r="R26" s="400"/>
      <c r="S26" s="400"/>
    </row>
    <row r="28" spans="1:46" s="77" customFormat="1" ht="22.5" thickBot="1" x14ac:dyDescent="0.55000000000000004">
      <c r="A28" s="483"/>
      <c r="B28" s="483"/>
      <c r="C28" s="483"/>
      <c r="D28" s="483"/>
      <c r="E28" s="77" t="s">
        <v>64</v>
      </c>
      <c r="F28" s="78"/>
      <c r="G28" s="22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ht="22.5" thickTop="1" x14ac:dyDescent="0.5">
      <c r="A29" s="483"/>
      <c r="B29" s="483"/>
      <c r="C29" s="483"/>
      <c r="D29" s="483"/>
      <c r="E29" s="77" t="s">
        <v>65</v>
      </c>
      <c r="F29" s="270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E30" s="77" t="s">
        <v>66</v>
      </c>
      <c r="F30" s="270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ht="21.75" customHeight="1" x14ac:dyDescent="0.5">
      <c r="A31" s="483"/>
      <c r="B31" s="483"/>
      <c r="C31" s="483"/>
      <c r="D31" s="483"/>
      <c r="E31" s="77" t="s">
        <v>67</v>
      </c>
      <c r="F31" s="270"/>
      <c r="G31" s="119"/>
      <c r="H31" s="119"/>
      <c r="I31" s="119"/>
      <c r="J31" s="119"/>
      <c r="K31" s="484"/>
      <c r="L31" s="484"/>
      <c r="M31" s="119"/>
      <c r="N31" s="465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</sheetData>
  <autoFilter ref="N1:N31"/>
  <mergeCells count="20">
    <mergeCell ref="A1:M1"/>
    <mergeCell ref="A2:M2"/>
    <mergeCell ref="A3:M3"/>
    <mergeCell ref="A5:A8"/>
    <mergeCell ref="B5:B8"/>
    <mergeCell ref="Q5:Q8"/>
    <mergeCell ref="F4:G4"/>
    <mergeCell ref="F6:F8"/>
    <mergeCell ref="G6:G8"/>
    <mergeCell ref="C5:C8"/>
    <mergeCell ref="P5:P8"/>
    <mergeCell ref="K5:K8"/>
    <mergeCell ref="L5:L8"/>
    <mergeCell ref="J5:J8"/>
    <mergeCell ref="E5:E8"/>
    <mergeCell ref="D5:D8"/>
    <mergeCell ref="I5:I8"/>
    <mergeCell ref="F5:H5"/>
    <mergeCell ref="H6:H8"/>
    <mergeCell ref="M5:M8"/>
  </mergeCells>
  <phoneticPr fontId="5" type="noConversion"/>
  <conditionalFormatting sqref="F11:F17">
    <cfRule type="cellIs" dxfId="2" priority="1" stopIfTrue="1" operator="between">
      <formula>2000001</formula>
      <formula>500000000</formula>
    </cfRule>
  </conditionalFormatting>
  <pageMargins left="0.55118110236220474" right="0.55118110236220474" top="0.59055118110236227" bottom="0.39370078740157483" header="0.31496062992125984" footer="0.31496062992125984"/>
  <pageSetup paperSize="9" scale="88" orientation="landscape" blackAndWhite="1" r:id="rId1"/>
  <rowBreaks count="1" manualBreakCount="1">
    <brk id="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zoomScaleNormal="100" workbookViewId="0">
      <selection activeCell="N4" sqref="N4"/>
    </sheetView>
  </sheetViews>
  <sheetFormatPr defaultColWidth="9.140625" defaultRowHeight="21.75" x14ac:dyDescent="0.5"/>
  <cols>
    <col min="1" max="1" width="5.85546875" style="3" customWidth="1"/>
    <col min="2" max="3" width="6.85546875" style="3" customWidth="1"/>
    <col min="4" max="4" width="8.42578125" style="3" customWidth="1"/>
    <col min="5" max="5" width="43" style="1" customWidth="1"/>
    <col min="6" max="6" width="14.5703125" style="4" customWidth="1"/>
    <col min="7" max="8" width="14.85546875" style="101" customWidth="1"/>
    <col min="9" max="9" width="40" style="101" customWidth="1"/>
    <col min="10" max="10" width="13.140625" style="101" hidden="1" customWidth="1"/>
    <col min="11" max="11" width="12.140625" style="150" hidden="1" customWidth="1"/>
    <col min="12" max="12" width="14.140625" style="150" hidden="1" customWidth="1"/>
    <col min="13" max="13" width="14.140625" style="150" customWidth="1"/>
    <col min="14" max="14" width="9.140625" style="2" customWidth="1"/>
    <col min="15" max="15" width="13.5703125" style="2" customWidth="1"/>
    <col min="16" max="26" width="9.140625" style="2"/>
    <col min="27" max="16384" width="9.140625" style="1"/>
  </cols>
  <sheetData>
    <row r="1" spans="1:37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2"/>
      <c r="O1" s="2" t="s">
        <v>68</v>
      </c>
      <c r="Q1" s="2" t="s">
        <v>63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305" t="s">
        <v>69</v>
      </c>
      <c r="N2" s="2" t="s">
        <v>70</v>
      </c>
      <c r="O2" s="140">
        <f>SUM(E11:E16)</f>
        <v>0</v>
      </c>
      <c r="P2" s="140" t="s">
        <v>70</v>
      </c>
      <c r="Q2" s="2" t="s">
        <v>70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5">
      <c r="A3" s="656" t="s">
        <v>45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7" t="s">
        <v>72</v>
      </c>
      <c r="N3" s="1" t="s">
        <v>70</v>
      </c>
      <c r="O3" s="382" t="s">
        <v>70</v>
      </c>
      <c r="P3" s="383" t="s">
        <v>70</v>
      </c>
      <c r="Q3" s="382" t="s">
        <v>70</v>
      </c>
      <c r="R3" s="1"/>
      <c r="S3" s="1"/>
      <c r="T3" s="1"/>
      <c r="U3" s="1"/>
      <c r="V3" s="1"/>
      <c r="W3" s="1"/>
      <c r="X3" s="1"/>
      <c r="Y3" s="1"/>
      <c r="Z3" s="1"/>
    </row>
    <row r="4" spans="1:37" ht="20.25" customHeight="1" x14ac:dyDescent="0.5">
      <c r="A4" s="1"/>
      <c r="B4" s="1"/>
      <c r="C4" s="1"/>
      <c r="D4" s="1"/>
      <c r="F4" s="669"/>
      <c r="G4" s="669"/>
      <c r="H4" s="443"/>
      <c r="I4" s="443"/>
      <c r="J4" s="444"/>
      <c r="M4" s="2" t="s">
        <v>73</v>
      </c>
      <c r="N4" s="230" t="s">
        <v>70</v>
      </c>
      <c r="O4" s="230" t="s">
        <v>70</v>
      </c>
      <c r="P4" s="2" t="s">
        <v>70</v>
      </c>
      <c r="Q4" s="2" t="s">
        <v>70</v>
      </c>
    </row>
    <row r="5" spans="1:37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252</v>
      </c>
      <c r="J5" s="643" t="s">
        <v>50</v>
      </c>
      <c r="K5" s="643" t="s">
        <v>51</v>
      </c>
      <c r="L5" s="657" t="s">
        <v>52</v>
      </c>
      <c r="M5" s="375"/>
      <c r="O5" s="668" t="s">
        <v>53</v>
      </c>
      <c r="P5" s="668" t="s">
        <v>54</v>
      </c>
    </row>
    <row r="6" spans="1:37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375"/>
      <c r="O6" s="668"/>
      <c r="P6" s="668"/>
    </row>
    <row r="7" spans="1:37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375"/>
      <c r="O7" s="668"/>
      <c r="P7" s="668"/>
    </row>
    <row r="8" spans="1:37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375"/>
      <c r="O8" s="668"/>
      <c r="P8" s="668"/>
    </row>
    <row r="9" spans="1:37" x14ac:dyDescent="0.5">
      <c r="A9" s="10"/>
      <c r="B9" s="10"/>
      <c r="C9" s="10"/>
      <c r="D9" s="10"/>
      <c r="E9" s="29" t="s">
        <v>39</v>
      </c>
      <c r="F9" s="10"/>
      <c r="G9" s="100"/>
      <c r="H9" s="100"/>
      <c r="I9" s="100"/>
      <c r="J9" s="100"/>
      <c r="K9" s="182"/>
      <c r="L9" s="182"/>
    </row>
    <row r="10" spans="1:37" s="7" customFormat="1" x14ac:dyDescent="0.2">
      <c r="A10" s="5"/>
      <c r="B10" s="5"/>
      <c r="C10" s="5"/>
      <c r="D10" s="5"/>
      <c r="E10" s="14" t="s">
        <v>2</v>
      </c>
      <c r="F10" s="26"/>
      <c r="G10" s="9"/>
      <c r="H10" s="9"/>
      <c r="I10" s="9"/>
      <c r="J10" s="9"/>
      <c r="K10" s="8"/>
      <c r="L10" s="8"/>
      <c r="M10" s="99"/>
    </row>
    <row r="11" spans="1:37" s="7" customFormat="1" x14ac:dyDescent="0.2">
      <c r="A11" s="5"/>
      <c r="B11" s="5"/>
      <c r="C11" s="5"/>
      <c r="D11" s="5"/>
      <c r="E11" s="300"/>
      <c r="F11" s="301"/>
      <c r="G11" s="9"/>
      <c r="H11" s="9"/>
      <c r="I11" s="316"/>
      <c r="J11" s="9"/>
      <c r="K11" s="8"/>
      <c r="L11" s="8"/>
      <c r="M11" s="99"/>
    </row>
    <row r="12" spans="1:37" s="7" customFormat="1" x14ac:dyDescent="0.2">
      <c r="A12" s="5"/>
      <c r="B12" s="11"/>
      <c r="C12" s="11"/>
      <c r="D12" s="11"/>
      <c r="E12" s="6"/>
      <c r="F12" s="302"/>
      <c r="G12" s="9"/>
      <c r="H12" s="9"/>
      <c r="I12" s="9"/>
      <c r="J12" s="9"/>
      <c r="K12" s="8"/>
      <c r="L12" s="8"/>
      <c r="M12" s="99"/>
    </row>
    <row r="13" spans="1:37" s="12" customFormat="1" x14ac:dyDescent="0.5">
      <c r="A13" s="232">
        <f>+A11</f>
        <v>0</v>
      </c>
      <c r="B13" s="232"/>
      <c r="C13" s="232"/>
      <c r="D13" s="232"/>
      <c r="E13" s="233" t="s">
        <v>58</v>
      </c>
      <c r="F13" s="297">
        <f>SUM(F11:F12)</f>
        <v>0</v>
      </c>
      <c r="G13" s="234">
        <f>SUM(G11:G12)</f>
        <v>0</v>
      </c>
      <c r="H13" s="234">
        <f>SUM(H11:H12)</f>
        <v>0</v>
      </c>
      <c r="I13" s="234"/>
      <c r="J13" s="234">
        <f>SUM(J11:J12)</f>
        <v>0</v>
      </c>
      <c r="K13" s="234">
        <f>SUM(K11:K12)</f>
        <v>0</v>
      </c>
      <c r="L13" s="234">
        <f>SUM(L11:L12)</f>
        <v>0</v>
      </c>
      <c r="M13" s="379"/>
      <c r="N13" s="138">
        <f>+F13+G13</f>
        <v>0</v>
      </c>
      <c r="O13" s="231"/>
      <c r="P13" s="231"/>
    </row>
    <row r="14" spans="1:37" s="16" customFormat="1" x14ac:dyDescent="0.2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76"/>
    </row>
    <row r="15" spans="1:37" s="16" customFormat="1" x14ac:dyDescent="0.2">
      <c r="A15" s="14"/>
      <c r="B15" s="14"/>
      <c r="C15" s="14"/>
      <c r="D15" s="14"/>
      <c r="E15" s="27"/>
      <c r="F15" s="304"/>
      <c r="G15" s="31"/>
      <c r="H15" s="31"/>
      <c r="I15" s="31"/>
      <c r="J15" s="31"/>
      <c r="K15" s="15"/>
      <c r="L15" s="15"/>
      <c r="M15" s="376"/>
    </row>
    <row r="16" spans="1:37" s="7" customFormat="1" x14ac:dyDescent="0.2">
      <c r="A16" s="5"/>
      <c r="B16" s="5"/>
      <c r="C16" s="5"/>
      <c r="D16" s="5"/>
      <c r="E16" s="6"/>
      <c r="F16" s="303"/>
      <c r="G16" s="9"/>
      <c r="H16" s="9"/>
      <c r="I16" s="9"/>
      <c r="J16" s="9"/>
      <c r="K16" s="8"/>
      <c r="L16" s="8"/>
      <c r="M16" s="99"/>
    </row>
    <row r="17" spans="1:45" s="16" customFormat="1" ht="22.5" thickBot="1" x14ac:dyDescent="0.55000000000000004">
      <c r="A17" s="235"/>
      <c r="B17" s="235"/>
      <c r="C17" s="235"/>
      <c r="D17" s="235"/>
      <c r="E17" s="236" t="s">
        <v>60</v>
      </c>
      <c r="F17" s="298">
        <f>SUM(F15:F16)</f>
        <v>0</v>
      </c>
      <c r="G17" s="237">
        <f>SUM(G15:G16)</f>
        <v>0</v>
      </c>
      <c r="H17" s="237">
        <f>SUM(H15:H16)</f>
        <v>0</v>
      </c>
      <c r="I17" s="237"/>
      <c r="J17" s="237">
        <f>SUM(J15:J16)</f>
        <v>0</v>
      </c>
      <c r="K17" s="237">
        <f>SUM(K15:K16)</f>
        <v>0</v>
      </c>
      <c r="L17" s="237">
        <f>SUM(L15:L16)</f>
        <v>0</v>
      </c>
      <c r="M17" s="380"/>
      <c r="N17" s="139">
        <f>+F17+G17</f>
        <v>0</v>
      </c>
      <c r="O17" s="231"/>
      <c r="P17" s="231"/>
    </row>
    <row r="18" spans="1:45" s="25" customFormat="1" ht="22.5" thickBot="1" x14ac:dyDescent="0.55000000000000004">
      <c r="A18" s="238">
        <f>+A13+A17</f>
        <v>0</v>
      </c>
      <c r="B18" s="239"/>
      <c r="C18" s="239"/>
      <c r="D18" s="239"/>
      <c r="E18" s="239" t="s">
        <v>525</v>
      </c>
      <c r="F18" s="299">
        <f>F13+F17</f>
        <v>0</v>
      </c>
      <c r="G18" s="240">
        <f>+G13+G17</f>
        <v>0</v>
      </c>
      <c r="H18" s="240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378"/>
      <c r="N18" s="140">
        <f>+N13+N17</f>
        <v>0</v>
      </c>
      <c r="O18" s="241"/>
      <c r="P18" s="24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45" s="7" customFormat="1" x14ac:dyDescent="0.2">
      <c r="A19" s="13"/>
      <c r="B19" s="13"/>
      <c r="C19" s="13"/>
      <c r="D19" s="13"/>
      <c r="E19" s="28"/>
      <c r="F19" s="18"/>
      <c r="G19" s="17"/>
      <c r="H19" s="17"/>
      <c r="I19" s="17"/>
      <c r="J19" s="17"/>
      <c r="K19" s="99"/>
      <c r="L19" s="99"/>
      <c r="M19" s="99"/>
    </row>
    <row r="20" spans="1:45" s="7" customFormat="1" x14ac:dyDescent="0.2">
      <c r="A20" s="13"/>
      <c r="B20" s="13"/>
      <c r="C20" s="13"/>
      <c r="D20" s="13"/>
      <c r="E20" s="28"/>
      <c r="F20" s="18"/>
      <c r="G20" s="17"/>
      <c r="H20" s="17"/>
      <c r="I20" s="17"/>
      <c r="J20" s="17"/>
      <c r="K20" s="99"/>
      <c r="L20" s="99"/>
      <c r="M20" s="99"/>
    </row>
    <row r="21" spans="1:45" s="7" customFormat="1" x14ac:dyDescent="0.2">
      <c r="A21" s="13"/>
      <c r="B21" s="13"/>
      <c r="C21" s="13"/>
      <c r="D21" s="13"/>
      <c r="E21" s="28"/>
      <c r="F21" s="18"/>
      <c r="G21" s="17"/>
      <c r="H21" s="17"/>
      <c r="I21" s="17"/>
      <c r="J21" s="17"/>
      <c r="K21" s="99"/>
      <c r="L21" s="99"/>
      <c r="M21" s="99"/>
    </row>
    <row r="22" spans="1:45" s="7" customFormat="1" x14ac:dyDescent="0.5">
      <c r="A22" s="13"/>
      <c r="B22" s="13"/>
      <c r="C22" s="13"/>
      <c r="D22" s="13"/>
      <c r="E22" s="28"/>
      <c r="F22" s="32"/>
      <c r="G22" s="17"/>
      <c r="H22" s="17"/>
      <c r="I22" s="17"/>
      <c r="J22" s="17"/>
      <c r="K22" s="99"/>
      <c r="L22" s="99"/>
      <c r="M22" s="99"/>
    </row>
    <row r="24" spans="1:45" s="20" customFormat="1" ht="22.5" thickBot="1" x14ac:dyDescent="0.55000000000000004">
      <c r="A24" s="19"/>
      <c r="B24" s="19"/>
      <c r="C24" s="19"/>
      <c r="D24" s="19"/>
      <c r="E24" s="77" t="s">
        <v>64</v>
      </c>
      <c r="F24" s="78"/>
      <c r="G24" s="229"/>
      <c r="H24" s="119"/>
      <c r="I24" s="119"/>
      <c r="J24" s="119"/>
      <c r="K24" s="183"/>
      <c r="L24" s="183"/>
      <c r="M24" s="18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s="20" customFormat="1" ht="22.5" thickTop="1" x14ac:dyDescent="0.5">
      <c r="A25" s="19"/>
      <c r="B25" s="19"/>
      <c r="C25" s="19"/>
      <c r="D25" s="19"/>
      <c r="E25" s="20" t="s">
        <v>65</v>
      </c>
      <c r="F25" s="22"/>
      <c r="G25" s="102"/>
      <c r="H25" s="102"/>
      <c r="I25" s="102"/>
      <c r="J25" s="102"/>
      <c r="K25" s="183"/>
      <c r="L25" s="183"/>
      <c r="M25" s="18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x14ac:dyDescent="0.5">
      <c r="A26" s="19"/>
      <c r="B26" s="19"/>
      <c r="C26" s="19"/>
      <c r="D26" s="19"/>
      <c r="E26" s="20" t="s">
        <v>66</v>
      </c>
      <c r="F26" s="22"/>
      <c r="G26" s="102"/>
      <c r="H26" s="102"/>
      <c r="I26" s="102"/>
      <c r="J26" s="102"/>
      <c r="K26" s="183"/>
      <c r="L26" s="183"/>
      <c r="M26" s="18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s="20" customFormat="1" x14ac:dyDescent="0.5">
      <c r="A27" s="19"/>
      <c r="B27" s="19"/>
      <c r="C27" s="19"/>
      <c r="D27" s="19"/>
      <c r="E27" s="20" t="s">
        <v>67</v>
      </c>
      <c r="F27" s="22"/>
      <c r="G27" s="102"/>
      <c r="H27" s="102"/>
      <c r="I27" s="102"/>
      <c r="J27" s="102"/>
      <c r="K27" s="183"/>
      <c r="L27" s="183"/>
      <c r="M27" s="18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</sheetData>
  <mergeCells count="19">
    <mergeCell ref="A1:L1"/>
    <mergeCell ref="A2:L2"/>
    <mergeCell ref="A3:L3"/>
    <mergeCell ref="F4:G4"/>
    <mergeCell ref="A5:A8"/>
    <mergeCell ref="B5:B8"/>
    <mergeCell ref="C5:C8"/>
    <mergeCell ref="D5:D8"/>
    <mergeCell ref="E5:E8"/>
    <mergeCell ref="J5:J8"/>
    <mergeCell ref="K5:K8"/>
    <mergeCell ref="L5:L8"/>
    <mergeCell ref="O5:O8"/>
    <mergeCell ref="P5:P8"/>
    <mergeCell ref="F6:F8"/>
    <mergeCell ref="G6:G8"/>
    <mergeCell ref="I5:I8"/>
    <mergeCell ref="F5:H5"/>
    <mergeCell ref="H6:H8"/>
  </mergeCells>
  <pageMargins left="0.43307086614173229" right="0.31496062992125984" top="0.74803149606299213" bottom="0.74803149606299213" header="0.31496062992125984" footer="0.31496062992125984"/>
  <pageSetup paperSize="9" orientation="landscape" blackAndWhite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7"/>
  <sheetViews>
    <sheetView zoomScaleNormal="100" zoomScaleSheetLayoutView="100" workbookViewId="0">
      <selection activeCell="N4" sqref="N4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6" style="487" customWidth="1"/>
    <col min="7" max="7" width="14.85546875" style="488" customWidth="1"/>
    <col min="8" max="8" width="14.85546875" style="488" hidden="1" customWidth="1"/>
    <col min="9" max="9" width="30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0.140625" style="488" customWidth="1"/>
    <col min="14" max="14" width="4.140625" style="465" customWidth="1"/>
    <col min="15" max="15" width="19.5703125" style="399" bestFit="1" customWidth="1"/>
    <col min="16" max="16" width="9.140625" style="399"/>
    <col min="17" max="17" width="16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6</v>
      </c>
      <c r="Q2" s="397" t="e">
        <f>+F12+F13+F15+F16+#REF!+F19</f>
        <v>#REF!</v>
      </c>
      <c r="R2" s="523">
        <v>1</v>
      </c>
      <c r="S2" s="397">
        <f>+F26</f>
        <v>2000000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>
        <v>5</v>
      </c>
      <c r="Q3" s="462">
        <f>+F11+F14+F17+F18+F20</f>
        <v>841500000</v>
      </c>
      <c r="R3" s="463">
        <v>3</v>
      </c>
      <c r="S3" s="462">
        <f>+F24+F25+F27</f>
        <v>37254800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542" t="s">
        <v>70</v>
      </c>
      <c r="R4" s="399" t="s">
        <v>70</v>
      </c>
      <c r="S4" s="399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</row>
    <row r="9" spans="1:38" x14ac:dyDescent="0.5">
      <c r="A9" s="10"/>
      <c r="B9" s="10"/>
      <c r="C9" s="10"/>
      <c r="D9" s="10"/>
      <c r="E9" s="29" t="s">
        <v>454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65.25" x14ac:dyDescent="0.2">
      <c r="A11" s="425">
        <v>1</v>
      </c>
      <c r="B11" s="425"/>
      <c r="C11" s="615" t="s">
        <v>300</v>
      </c>
      <c r="D11" s="425" t="s">
        <v>454</v>
      </c>
      <c r="E11" s="470" t="s">
        <v>526</v>
      </c>
      <c r="F11" s="426">
        <v>5800000</v>
      </c>
      <c r="G11" s="426"/>
      <c r="H11" s="426"/>
      <c r="I11" s="505" t="str">
        <f>+[33]บ.ตร.!I11</f>
        <v>อยู่ระหว่างกำหนดราคากลาง</v>
      </c>
      <c r="J11" s="31"/>
      <c r="K11" s="15"/>
      <c r="L11" s="15"/>
      <c r="M11" s="505" t="str">
        <f>+[33]บ.ตร.!M11</f>
        <v>รอราคากลาง จากคณะกรรมการกำหนดราคากลางฯ</v>
      </c>
      <c r="N11" s="407">
        <v>2</v>
      </c>
      <c r="O11" s="400"/>
      <c r="P11" s="400"/>
      <c r="Q11" s="400"/>
      <c r="R11" s="400"/>
      <c r="S11" s="400"/>
    </row>
    <row r="12" spans="1:38" s="16" customFormat="1" ht="65.25" x14ac:dyDescent="0.2">
      <c r="A12" s="261">
        <v>2</v>
      </c>
      <c r="B12" s="261"/>
      <c r="C12" s="554" t="s">
        <v>80</v>
      </c>
      <c r="D12" s="261" t="s">
        <v>454</v>
      </c>
      <c r="E12" s="473" t="s">
        <v>527</v>
      </c>
      <c r="F12" s="281">
        <v>400000</v>
      </c>
      <c r="G12" s="281"/>
      <c r="H12" s="281"/>
      <c r="I12" s="508" t="str">
        <f>+[33]บ.ตร.!I12</f>
        <v>อยู่ระหว่างลงนามในสัญญา</v>
      </c>
      <c r="J12" s="31"/>
      <c r="K12" s="15"/>
      <c r="L12" s="15"/>
      <c r="M12" s="508" t="str">
        <f>+[33]บ.ตร.!M12</f>
        <v> อยู่ระหว่างขออนุมัติเบิกจ่ายเงิน</v>
      </c>
      <c r="N12" s="407">
        <v>1</v>
      </c>
      <c r="O12" s="400"/>
      <c r="P12" s="400"/>
      <c r="Q12" s="400"/>
      <c r="R12" s="400"/>
      <c r="S12" s="400"/>
    </row>
    <row r="13" spans="1:38" s="16" customFormat="1" ht="65.25" x14ac:dyDescent="0.2">
      <c r="A13" s="261">
        <v>3</v>
      </c>
      <c r="B13" s="261"/>
      <c r="C13" s="554" t="s">
        <v>80</v>
      </c>
      <c r="D13" s="261" t="s">
        <v>454</v>
      </c>
      <c r="E13" s="473" t="s">
        <v>528</v>
      </c>
      <c r="F13" s="281">
        <v>110000</v>
      </c>
      <c r="G13" s="281"/>
      <c r="H13" s="281"/>
      <c r="I13" s="508" t="str">
        <f>+[33]บ.ตร.!I13</f>
        <v>อยู่ระหว่างลงนามในสัญญา</v>
      </c>
      <c r="J13" s="31"/>
      <c r="K13" s="15"/>
      <c r="L13" s="15"/>
      <c r="M13" s="508" t="str">
        <f>+[33]บ.ตร.!M13</f>
        <v>อยู่ระหว่างขออนุมัติเบิกจ่ายเงิน</v>
      </c>
      <c r="N13" s="407">
        <v>1</v>
      </c>
      <c r="O13" s="400"/>
      <c r="P13" s="400"/>
      <c r="Q13" s="400"/>
      <c r="R13" s="400"/>
      <c r="S13" s="400"/>
    </row>
    <row r="14" spans="1:38" s="16" customFormat="1" ht="45" x14ac:dyDescent="0.2">
      <c r="A14" s="425">
        <v>4</v>
      </c>
      <c r="B14" s="425"/>
      <c r="C14" s="557" t="s">
        <v>368</v>
      </c>
      <c r="D14" s="425" t="s">
        <v>454</v>
      </c>
      <c r="E14" s="470" t="s">
        <v>529</v>
      </c>
      <c r="F14" s="426">
        <v>500000000</v>
      </c>
      <c r="G14" s="426"/>
      <c r="H14" s="426"/>
      <c r="I14" s="505" t="str">
        <f>+[33]บ.ตร.!I14</f>
        <v>  อยู่ระหว่างดำเนินการเสนอ กวพ. ยกเว้นวิธีการจัดหา  </v>
      </c>
      <c r="J14" s="31"/>
      <c r="K14" s="15"/>
      <c r="L14" s="15"/>
      <c r="M14" s="505" t="str">
        <f>+[33]บ.ตร.!M14</f>
        <v>  อยู่ระหว่างดำเนินการเสนอ กวพ. ยกเว้นวิธีการจัดหา  </v>
      </c>
      <c r="N14" s="407">
        <v>2</v>
      </c>
      <c r="O14" s="400"/>
      <c r="P14" s="400"/>
      <c r="Q14" s="400"/>
      <c r="R14" s="400"/>
      <c r="S14" s="400"/>
    </row>
    <row r="15" spans="1:38" s="16" customFormat="1" ht="87" x14ac:dyDescent="0.2">
      <c r="A15" s="261">
        <v>5</v>
      </c>
      <c r="B15" s="261"/>
      <c r="C15" s="554" t="s">
        <v>368</v>
      </c>
      <c r="D15" s="261" t="s">
        <v>454</v>
      </c>
      <c r="E15" s="473" t="s">
        <v>530</v>
      </c>
      <c r="F15" s="281">
        <v>280000</v>
      </c>
      <c r="G15" s="281"/>
      <c r="H15" s="281"/>
      <c r="I15" s="508" t="str">
        <f>+[33]บ.ตร.!I15</f>
        <v>แจ้งผู้ขายมาลงนามในสัญญา</v>
      </c>
      <c r="J15" s="31"/>
      <c r="K15" s="15"/>
      <c r="L15" s="15"/>
      <c r="M15" s="508" t="str">
        <f>+[33]บ.ตร.!M15</f>
        <v>อยู่ระหว่างตรวจรับ</v>
      </c>
      <c r="N15" s="407">
        <v>1</v>
      </c>
      <c r="O15" s="400"/>
      <c r="P15" s="400"/>
      <c r="Q15" s="400"/>
      <c r="R15" s="400"/>
      <c r="S15" s="400"/>
    </row>
    <row r="16" spans="1:38" s="16" customFormat="1" ht="87" x14ac:dyDescent="0.2">
      <c r="A16" s="261">
        <v>6</v>
      </c>
      <c r="B16" s="261"/>
      <c r="C16" s="554" t="s">
        <v>368</v>
      </c>
      <c r="D16" s="261" t="s">
        <v>454</v>
      </c>
      <c r="E16" s="473" t="s">
        <v>531</v>
      </c>
      <c r="F16" s="281">
        <v>161000</v>
      </c>
      <c r="G16" s="281"/>
      <c r="H16" s="281"/>
      <c r="I16" s="508" t="str">
        <f>+[33]บ.ตร.!I16</f>
        <v>แจ้งผู้ขายมาลงนามในสัญญา</v>
      </c>
      <c r="J16" s="31"/>
      <c r="K16" s="15"/>
      <c r="L16" s="15"/>
      <c r="M16" s="508" t="str">
        <f>+[33]บ.ตร.!M16</f>
        <v>อยู่ระหว่างตรวจรับ</v>
      </c>
      <c r="N16" s="407">
        <v>1</v>
      </c>
      <c r="O16" s="400"/>
      <c r="P16" s="400"/>
      <c r="Q16" s="400"/>
      <c r="R16" s="400"/>
      <c r="S16" s="400"/>
    </row>
    <row r="17" spans="1:27" s="16" customFormat="1" ht="45" customHeight="1" x14ac:dyDescent="0.2">
      <c r="A17" s="425">
        <v>7</v>
      </c>
      <c r="B17" s="425"/>
      <c r="C17" s="557" t="s">
        <v>368</v>
      </c>
      <c r="D17" s="425" t="s">
        <v>454</v>
      </c>
      <c r="E17" s="470" t="s">
        <v>532</v>
      </c>
      <c r="F17" s="426">
        <v>10000000</v>
      </c>
      <c r="G17" s="426"/>
      <c r="H17" s="426"/>
      <c r="I17" s="505" t="str">
        <f>+[33]บ.ตร.!I17</f>
        <v>อยู่ระหว่างปรับปรุง TOR ตามที่มีผู้วิจารณ์</v>
      </c>
      <c r="J17" s="31"/>
      <c r="K17" s="15"/>
      <c r="L17" s="15"/>
      <c r="M17" s="505" t="str">
        <f>+[33]บ.ตร.!M17</f>
        <v>มีข้อเสนอแนะในการลงประกาศร่างฯ จึงกลับไปให้คณะกรรมการกำหนดคุณลักษณะเฉพาะฯ พิจารณาข้อเสนอแนะ ดังกล่าว</v>
      </c>
      <c r="N17" s="407">
        <v>2</v>
      </c>
      <c r="O17" s="400"/>
      <c r="P17" s="400"/>
      <c r="Q17" s="400"/>
      <c r="R17" s="400"/>
      <c r="S17" s="400"/>
    </row>
    <row r="18" spans="1:27" s="16" customFormat="1" ht="65.25" x14ac:dyDescent="0.2">
      <c r="A18" s="425">
        <v>8</v>
      </c>
      <c r="B18" s="425"/>
      <c r="C18" s="557" t="s">
        <v>368</v>
      </c>
      <c r="D18" s="425" t="s">
        <v>454</v>
      </c>
      <c r="E18" s="470" t="s">
        <v>533</v>
      </c>
      <c r="F18" s="426">
        <v>3200000</v>
      </c>
      <c r="G18" s="426"/>
      <c r="H18" s="426"/>
      <c r="I18" s="505" t="str">
        <f>+[33]บ.ตร.!I18</f>
        <v>มีผู้เสนอราคารายเดียว/อยู่ระหว่างดำเนินการใหม่ เสนอราคาวันที่ 13 พ.ย.58</v>
      </c>
      <c r="J18" s="31"/>
      <c r="K18" s="15"/>
      <c r="L18" s="15"/>
      <c r="M18" s="505" t="str">
        <f>+[33]บ.ตร.!M18</f>
        <v>อยู่ระหว่างรอผล คณะกรรมการพิจารณาผลฯ ส่งรายงาน</v>
      </c>
      <c r="N18" s="407">
        <v>2</v>
      </c>
      <c r="O18" s="400"/>
      <c r="P18" s="400"/>
      <c r="Q18" s="400"/>
      <c r="R18" s="400"/>
      <c r="S18" s="400"/>
    </row>
    <row r="19" spans="1:27" s="16" customFormat="1" ht="87" x14ac:dyDescent="0.2">
      <c r="A19" s="261">
        <v>9</v>
      </c>
      <c r="B19" s="261"/>
      <c r="C19" s="554" t="s">
        <v>368</v>
      </c>
      <c r="D19" s="261" t="s">
        <v>454</v>
      </c>
      <c r="E19" s="473" t="s">
        <v>534</v>
      </c>
      <c r="F19" s="281">
        <v>132000</v>
      </c>
      <c r="G19" s="281"/>
      <c r="H19" s="281"/>
      <c r="I19" s="508" t="str">
        <f>+[33]บ.ตร.!I19</f>
        <v>แจ้งผู้ขายมาลงนามในสัญญา</v>
      </c>
      <c r="J19" s="31"/>
      <c r="K19" s="15"/>
      <c r="L19" s="15"/>
      <c r="M19" s="508" t="str">
        <f>+[33]บ.ตร.!M19</f>
        <v>อยู่ระหว่างตรวจรับ</v>
      </c>
      <c r="N19" s="407">
        <v>1</v>
      </c>
      <c r="O19" s="400"/>
      <c r="P19" s="400"/>
      <c r="Q19" s="400"/>
      <c r="R19" s="400"/>
      <c r="S19" s="400"/>
    </row>
    <row r="20" spans="1:27" s="16" customFormat="1" ht="65.25" x14ac:dyDescent="0.2">
      <c r="A20" s="425">
        <v>10</v>
      </c>
      <c r="B20" s="425"/>
      <c r="C20" s="568" t="s">
        <v>297</v>
      </c>
      <c r="D20" s="425" t="s">
        <v>454</v>
      </c>
      <c r="E20" s="470" t="s">
        <v>535</v>
      </c>
      <c r="F20" s="426">
        <v>322500000</v>
      </c>
      <c r="G20" s="426"/>
      <c r="H20" s="426"/>
      <c r="I20" s="505" t="str">
        <f>+[33]บ.ตร.!I20</f>
        <v>อยู่ระหว่างดำเนินการเสนอ กวพ.ยกเว้นวิธีการจัดหา</v>
      </c>
      <c r="J20" s="31"/>
      <c r="K20" s="15"/>
      <c r="L20" s="15"/>
      <c r="M20" s="505" t="str">
        <f>+[33]บ.ตร.!M20</f>
        <v>อยู่ระหว่างคณะกรรมการพิจารณาผลการเสนอราคา</v>
      </c>
      <c r="N20" s="407">
        <v>2</v>
      </c>
      <c r="O20" s="400"/>
      <c r="P20" s="400"/>
      <c r="Q20" s="400"/>
      <c r="R20" s="400"/>
      <c r="S20" s="400"/>
    </row>
    <row r="21" spans="1:27" s="16" customFormat="1" x14ac:dyDescent="0.2">
      <c r="A21" s="14"/>
      <c r="B21" s="476"/>
      <c r="C21" s="476"/>
      <c r="D21" s="476"/>
      <c r="E21" s="477"/>
      <c r="F21" s="497"/>
      <c r="G21" s="30"/>
      <c r="H21" s="30"/>
      <c r="I21" s="31"/>
      <c r="J21" s="31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27" s="12" customFormat="1" x14ac:dyDescent="0.5">
      <c r="A22" s="232">
        <f>+A20</f>
        <v>10</v>
      </c>
      <c r="B22" s="232"/>
      <c r="C22" s="232"/>
      <c r="D22" s="232"/>
      <c r="E22" s="233" t="s">
        <v>58</v>
      </c>
      <c r="F22" s="249">
        <f>SUM(F11:F21)</f>
        <v>842583000</v>
      </c>
      <c r="G22" s="234">
        <f>SUM(G21:G21)</f>
        <v>0</v>
      </c>
      <c r="H22" s="234">
        <f>SUM(H21:H21)</f>
        <v>0</v>
      </c>
      <c r="I22" s="249"/>
      <c r="J22" s="249">
        <f>SUM(J21:J21)</f>
        <v>0</v>
      </c>
      <c r="K22" s="249">
        <f>SUM(K21:K21)</f>
        <v>0</v>
      </c>
      <c r="L22" s="249">
        <f>SUM(L21:L21)</f>
        <v>0</v>
      </c>
      <c r="M22" s="249"/>
      <c r="N22" s="406"/>
      <c r="O22" s="397">
        <f>+F22+G22</f>
        <v>842583000</v>
      </c>
      <c r="P22" s="398"/>
      <c r="Q22" s="398"/>
      <c r="R22" s="399"/>
      <c r="S22" s="399"/>
    </row>
    <row r="23" spans="1:27" s="16" customFormat="1" x14ac:dyDescent="0.2">
      <c r="A23" s="14"/>
      <c r="B23" s="14"/>
      <c r="C23" s="14"/>
      <c r="D23" s="14"/>
      <c r="E23" s="27" t="s">
        <v>59</v>
      </c>
      <c r="F23" s="31"/>
      <c r="G23" s="31"/>
      <c r="H23" s="31"/>
      <c r="I23" s="31"/>
      <c r="J23" s="31"/>
      <c r="K23" s="15"/>
      <c r="L23" s="15"/>
      <c r="M23" s="31"/>
      <c r="N23" s="407"/>
      <c r="O23" s="400"/>
      <c r="P23" s="400"/>
      <c r="Q23" s="400"/>
      <c r="R23" s="400"/>
      <c r="S23" s="400"/>
    </row>
    <row r="24" spans="1:27" s="16" customFormat="1" ht="65.25" x14ac:dyDescent="0.2">
      <c r="A24" s="425">
        <v>1</v>
      </c>
      <c r="B24" s="425"/>
      <c r="C24" s="557" t="s">
        <v>368</v>
      </c>
      <c r="D24" s="425" t="s">
        <v>454</v>
      </c>
      <c r="E24" s="470" t="s">
        <v>536</v>
      </c>
      <c r="F24" s="426">
        <v>12326800</v>
      </c>
      <c r="G24" s="426"/>
      <c r="H24" s="426"/>
      <c r="I24" s="505" t="str">
        <f>+[33]บ.ตร.!I24</f>
        <v>อยู่ระหว่างประกาศ</v>
      </c>
      <c r="J24" s="31"/>
      <c r="K24" s="15"/>
      <c r="L24" s="15"/>
      <c r="M24" s="505" t="str">
        <f>+[33]บ.ตร.!M24</f>
        <v>อยู่ระหว่างคณะกรรมการพิจารณาผลการเสนอราคา</v>
      </c>
      <c r="N24" s="407">
        <v>2</v>
      </c>
      <c r="O24" s="400"/>
      <c r="P24" s="400"/>
      <c r="Q24" s="400"/>
      <c r="R24" s="400"/>
      <c r="S24" s="400"/>
    </row>
    <row r="25" spans="1:27" s="16" customFormat="1" ht="65.25" x14ac:dyDescent="0.2">
      <c r="A25" s="425">
        <v>2</v>
      </c>
      <c r="B25" s="425"/>
      <c r="C25" s="557" t="s">
        <v>368</v>
      </c>
      <c r="D25" s="425" t="s">
        <v>454</v>
      </c>
      <c r="E25" s="470" t="s">
        <v>537</v>
      </c>
      <c r="F25" s="426">
        <v>15728000</v>
      </c>
      <c r="G25" s="426"/>
      <c r="H25" s="426"/>
      <c r="I25" s="505" t="str">
        <f>+[33]บ.ตร.!I25</f>
        <v>อยู่ระหว่างประกาศ</v>
      </c>
      <c r="J25" s="31"/>
      <c r="K25" s="15"/>
      <c r="L25" s="15"/>
      <c r="M25" s="505" t="str">
        <f>+[33]บ.ตร.!M25</f>
        <v>อยู่ระหว่างเสนอราคาในวันที่ 30 พ.ย. 58</v>
      </c>
      <c r="N25" s="407">
        <v>2</v>
      </c>
      <c r="O25" s="400"/>
      <c r="P25" s="400"/>
      <c r="Q25" s="400"/>
      <c r="R25" s="400"/>
      <c r="S25" s="400"/>
    </row>
    <row r="26" spans="1:27" s="16" customFormat="1" ht="65.25" x14ac:dyDescent="0.2">
      <c r="A26" s="261">
        <v>3</v>
      </c>
      <c r="B26" s="261"/>
      <c r="C26" s="554" t="s">
        <v>368</v>
      </c>
      <c r="D26" s="261" t="s">
        <v>454</v>
      </c>
      <c r="E26" s="473" t="s">
        <v>538</v>
      </c>
      <c r="F26" s="281">
        <v>2000000</v>
      </c>
      <c r="G26" s="281"/>
      <c r="H26" s="281"/>
      <c r="I26" s="508" t="str">
        <f>+[33]บ.ตร.!I26</f>
        <v>อยู่ระหว่างขอให้ ยธ.ปรับแบบ ให้อยู่ในวงเงินงบประมาณ</v>
      </c>
      <c r="J26" s="31"/>
      <c r="K26" s="15"/>
      <c r="L26" s="15"/>
      <c r="M26" s="508" t="str">
        <f>+[33]บ.ตร.!M26</f>
        <v>อยู่ระหว่างกำหนดราคากลาง</v>
      </c>
      <c r="N26" s="407">
        <v>1</v>
      </c>
      <c r="O26" s="400"/>
      <c r="P26" s="400"/>
      <c r="Q26" s="400"/>
      <c r="R26" s="400"/>
      <c r="S26" s="400"/>
    </row>
    <row r="27" spans="1:27" s="16" customFormat="1" ht="65.25" x14ac:dyDescent="0.2">
      <c r="A27" s="425">
        <v>4</v>
      </c>
      <c r="B27" s="425"/>
      <c r="C27" s="557" t="s">
        <v>368</v>
      </c>
      <c r="D27" s="425"/>
      <c r="E27" s="525" t="s">
        <v>539</v>
      </c>
      <c r="F27" s="526">
        <v>9200000</v>
      </c>
      <c r="G27" s="426"/>
      <c r="H27" s="426"/>
      <c r="I27" s="505" t="str">
        <f>+[33]บ.ตร.!I27</f>
        <v>อยู่ระหว่างประกาศฯ กำหนดเสนอราคาวันที่ 16 พ.ย.58</v>
      </c>
      <c r="J27" s="31"/>
      <c r="K27" s="15"/>
      <c r="L27" s="15"/>
      <c r="M27" s="505" t="str">
        <f>+[33]บ.ตร.!M27</f>
        <v> เสนอขออนุมัติดำเนินการ </v>
      </c>
      <c r="N27" s="407">
        <v>2</v>
      </c>
      <c r="O27" s="400"/>
      <c r="P27" s="400"/>
      <c r="Q27" s="400"/>
      <c r="R27" s="400"/>
      <c r="S27" s="400"/>
    </row>
    <row r="28" spans="1:27" s="16" customFormat="1" x14ac:dyDescent="0.2">
      <c r="A28" s="14"/>
      <c r="B28" s="14"/>
      <c r="C28" s="14"/>
      <c r="D28" s="14"/>
      <c r="E28" s="477"/>
      <c r="F28" s="15"/>
      <c r="G28" s="30"/>
      <c r="H28" s="30"/>
      <c r="I28" s="31"/>
      <c r="J28" s="31"/>
      <c r="K28" s="15"/>
      <c r="L28" s="15"/>
      <c r="M28" s="31"/>
      <c r="N28" s="407"/>
      <c r="O28" s="400"/>
      <c r="P28" s="400"/>
      <c r="Q28" s="400"/>
      <c r="R28" s="400"/>
      <c r="S28" s="400"/>
    </row>
    <row r="29" spans="1:27" s="16" customFormat="1" ht="22.5" thickBot="1" x14ac:dyDescent="0.55000000000000004">
      <c r="A29" s="235">
        <f>+A27</f>
        <v>4</v>
      </c>
      <c r="B29" s="235"/>
      <c r="C29" s="235"/>
      <c r="D29" s="235"/>
      <c r="E29" s="236" t="s">
        <v>60</v>
      </c>
      <c r="F29" s="250">
        <f>SUM(F24:F28)</f>
        <v>39254800</v>
      </c>
      <c r="G29" s="237">
        <f>SUM(G28:G28)</f>
        <v>0</v>
      </c>
      <c r="H29" s="237">
        <f>SUM(H28:H28)</f>
        <v>0</v>
      </c>
      <c r="I29" s="250"/>
      <c r="J29" s="250">
        <f>SUM(J28:J28)</f>
        <v>0</v>
      </c>
      <c r="K29" s="250">
        <f>SUM(K28:K28)</f>
        <v>0</v>
      </c>
      <c r="L29" s="250">
        <f>SUM(L28:L28)</f>
        <v>0</v>
      </c>
      <c r="M29" s="250"/>
      <c r="N29" s="405"/>
      <c r="O29" s="402">
        <f>+F29+G29</f>
        <v>39254800</v>
      </c>
      <c r="P29" s="398"/>
      <c r="Q29" s="398"/>
      <c r="R29" s="400"/>
      <c r="S29" s="400"/>
    </row>
    <row r="30" spans="1:27" s="480" customFormat="1" ht="22.5" thickBot="1" x14ac:dyDescent="0.55000000000000004">
      <c r="A30" s="238">
        <f>+A22+A29</f>
        <v>14</v>
      </c>
      <c r="B30" s="239"/>
      <c r="C30" s="239"/>
      <c r="D30" s="239"/>
      <c r="E30" s="239" t="s">
        <v>540</v>
      </c>
      <c r="F30" s="251">
        <f>F22+F29</f>
        <v>881837800</v>
      </c>
      <c r="G30" s="289">
        <f>+G22+G29</f>
        <v>0</v>
      </c>
      <c r="H30" s="289">
        <f>+H22+H29</f>
        <v>0</v>
      </c>
      <c r="I30" s="240"/>
      <c r="J30" s="240">
        <f>J22+J29</f>
        <v>0</v>
      </c>
      <c r="K30" s="240">
        <f>K22+K29</f>
        <v>0</v>
      </c>
      <c r="L30" s="240">
        <f>L22+L29</f>
        <v>0</v>
      </c>
      <c r="M30" s="240"/>
      <c r="N30" s="408"/>
      <c r="O30" s="397">
        <f>+O22+O29</f>
        <v>881837800</v>
      </c>
      <c r="P30" s="479"/>
      <c r="Q30" s="479"/>
      <c r="R30" s="399"/>
      <c r="S30" s="399"/>
      <c r="T30" s="12"/>
      <c r="U30" s="12"/>
      <c r="V30" s="12"/>
      <c r="W30" s="12"/>
      <c r="X30" s="12"/>
      <c r="Y30" s="12"/>
      <c r="Z30" s="12"/>
      <c r="AA30" s="12"/>
    </row>
    <row r="31" spans="1:27" s="16" customFormat="1" x14ac:dyDescent="0.2">
      <c r="A31" s="481"/>
      <c r="B31" s="481"/>
      <c r="C31" s="481"/>
      <c r="D31" s="481"/>
      <c r="E31" s="482"/>
      <c r="F31" s="376"/>
      <c r="G31" s="375"/>
      <c r="H31" s="375"/>
      <c r="I31" s="375"/>
      <c r="J31" s="375"/>
      <c r="K31" s="376"/>
      <c r="L31" s="376"/>
      <c r="M31" s="375"/>
      <c r="N31" s="407"/>
      <c r="O31" s="400"/>
      <c r="P31" s="400"/>
      <c r="Q31" s="400"/>
      <c r="R31" s="400"/>
      <c r="S31" s="400"/>
    </row>
    <row r="32" spans="1:27" s="16" customFormat="1" x14ac:dyDescent="0.5">
      <c r="A32" s="481"/>
      <c r="B32" s="481"/>
      <c r="C32" s="481"/>
      <c r="D32" s="481"/>
      <c r="E32" s="482"/>
      <c r="F32" s="252"/>
      <c r="G32" s="375"/>
      <c r="H32" s="375"/>
      <c r="I32" s="375"/>
      <c r="J32" s="375"/>
      <c r="K32" s="376"/>
      <c r="L32" s="376"/>
      <c r="M32" s="375"/>
      <c r="N32" s="407"/>
      <c r="O32" s="400"/>
      <c r="P32" s="400"/>
      <c r="Q32" s="400"/>
      <c r="R32" s="400"/>
      <c r="S32" s="400"/>
    </row>
    <row r="34" spans="1:46" s="77" customFormat="1" x14ac:dyDescent="0.5">
      <c r="A34" s="483"/>
      <c r="B34" s="483"/>
      <c r="C34" s="483"/>
      <c r="D34" s="483"/>
      <c r="F34" s="262"/>
      <c r="G34" s="119"/>
      <c r="H34" s="119"/>
      <c r="I34" s="119"/>
      <c r="J34" s="119"/>
      <c r="K34" s="484"/>
      <c r="L34" s="484"/>
      <c r="M34" s="119"/>
      <c r="N34" s="465"/>
      <c r="O34" s="399"/>
      <c r="P34" s="399"/>
      <c r="Q34" s="399"/>
      <c r="R34" s="399"/>
      <c r="S34" s="399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</row>
    <row r="35" spans="1:46" s="77" customFormat="1" x14ac:dyDescent="0.5">
      <c r="A35" s="483"/>
      <c r="B35" s="483"/>
      <c r="C35" s="483"/>
      <c r="D35" s="483"/>
      <c r="F35" s="262"/>
      <c r="G35" s="119"/>
      <c r="H35" s="119"/>
      <c r="I35" s="119"/>
      <c r="J35" s="119"/>
      <c r="K35" s="484"/>
      <c r="L35" s="484"/>
      <c r="M35" s="119"/>
      <c r="N35" s="465"/>
      <c r="O35" s="399"/>
      <c r="P35" s="399"/>
      <c r="Q35" s="399"/>
      <c r="R35" s="399"/>
      <c r="S35" s="399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5"/>
      <c r="AT35" s="485"/>
    </row>
    <row r="36" spans="1:46" s="77" customFormat="1" x14ac:dyDescent="0.5">
      <c r="A36" s="483"/>
      <c r="B36" s="483"/>
      <c r="C36" s="483"/>
      <c r="D36" s="483"/>
      <c r="F36" s="262"/>
      <c r="G36" s="119"/>
      <c r="H36" s="119"/>
      <c r="I36" s="119"/>
      <c r="J36" s="119"/>
      <c r="K36" s="484"/>
      <c r="L36" s="484"/>
      <c r="M36" s="119"/>
      <c r="N36" s="465"/>
      <c r="O36" s="399"/>
      <c r="P36" s="399"/>
      <c r="Q36" s="399"/>
      <c r="R36" s="399"/>
      <c r="S36" s="399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</row>
    <row r="37" spans="1:46" s="77" customFormat="1" x14ac:dyDescent="0.5">
      <c r="A37" s="483"/>
      <c r="B37" s="483"/>
      <c r="C37" s="483"/>
      <c r="D37" s="483"/>
      <c r="F37" s="262"/>
      <c r="G37" s="119"/>
      <c r="H37" s="119"/>
      <c r="I37" s="119"/>
      <c r="J37" s="119"/>
      <c r="K37" s="484"/>
      <c r="L37" s="484"/>
      <c r="M37" s="119"/>
      <c r="N37" s="465"/>
      <c r="O37" s="399"/>
      <c r="P37" s="399"/>
      <c r="Q37" s="399"/>
      <c r="R37" s="399"/>
      <c r="S37" s="399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</row>
  </sheetData>
  <autoFilter ref="N1:N37"/>
  <mergeCells count="20">
    <mergeCell ref="A1:M1"/>
    <mergeCell ref="A2:M2"/>
    <mergeCell ref="A3:M3"/>
    <mergeCell ref="E5:E8"/>
    <mergeCell ref="A5:A8"/>
    <mergeCell ref="B5:B8"/>
    <mergeCell ref="C5:C8"/>
    <mergeCell ref="D5:D8"/>
    <mergeCell ref="Q5:Q8"/>
    <mergeCell ref="K5:K8"/>
    <mergeCell ref="F4:G4"/>
    <mergeCell ref="P5:P8"/>
    <mergeCell ref="G6:G8"/>
    <mergeCell ref="L5:L8"/>
    <mergeCell ref="J5:J8"/>
    <mergeCell ref="F6:F8"/>
    <mergeCell ref="I5:I8"/>
    <mergeCell ref="F5:H5"/>
    <mergeCell ref="H6:H8"/>
    <mergeCell ref="M5:M8"/>
  </mergeCells>
  <phoneticPr fontId="2" type="noConversion"/>
  <conditionalFormatting sqref="F11:F20">
    <cfRule type="cellIs" dxfId="1" priority="2" stopIfTrue="1" operator="between">
      <formula>2000001</formula>
      <formula>500000000</formula>
    </cfRule>
  </conditionalFormatting>
  <conditionalFormatting sqref="F24:F27">
    <cfRule type="cellIs" dxfId="0" priority="1" stopIfTrue="1" operator="between">
      <formula>2000001</formula>
      <formula>500000000</formula>
    </cfRule>
  </conditionalFormatting>
  <pageMargins left="0.55118110236220474" right="0.47244094488188981" top="0.62992125984251968" bottom="0.43307086614173229" header="0.35433070866141736" footer="0.35433070866141736"/>
  <pageSetup paperSize="9" scale="85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zoomScaleNormal="100" zoomScaleSheetLayoutView="100" workbookViewId="0">
      <selection activeCell="N4" sqref="N4"/>
    </sheetView>
  </sheetViews>
  <sheetFormatPr defaultColWidth="9.140625" defaultRowHeight="21.75" x14ac:dyDescent="0.5"/>
  <cols>
    <col min="1" max="1" width="5.85546875" style="3" customWidth="1"/>
    <col min="2" max="2" width="6.140625" style="3" customWidth="1"/>
    <col min="3" max="3" width="6.5703125" style="3" customWidth="1"/>
    <col min="4" max="4" width="7.140625" style="3" customWidth="1"/>
    <col min="5" max="5" width="42.140625" style="1" customWidth="1"/>
    <col min="6" max="6" width="14.140625" style="255" customWidth="1"/>
    <col min="7" max="7" width="14.42578125" style="101" customWidth="1"/>
    <col min="8" max="8" width="14.42578125" style="101" hidden="1" customWidth="1"/>
    <col min="9" max="9" width="27.5703125" style="101" customWidth="1"/>
    <col min="10" max="10" width="13.140625" style="101" hidden="1" customWidth="1"/>
    <col min="11" max="11" width="12.140625" style="150" hidden="1" customWidth="1"/>
    <col min="12" max="12" width="14.140625" style="150" hidden="1" customWidth="1"/>
    <col min="13" max="13" width="27.5703125" style="101" customWidth="1"/>
    <col min="14" max="14" width="5.85546875" style="414" customWidth="1"/>
    <col min="15" max="15" width="19.5703125" style="384" bestFit="1" customWidth="1"/>
    <col min="16" max="16" width="9.140625" style="384"/>
    <col min="17" max="17" width="12.42578125" style="384" bestFit="1" customWidth="1"/>
    <col min="18" max="19" width="9.140625" style="384"/>
    <col min="20" max="27" width="9.140625" style="2"/>
    <col min="28" max="16384" width="9.140625" style="1"/>
  </cols>
  <sheetData>
    <row r="1" spans="1:38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9"/>
      <c r="Q1" s="384" t="s">
        <v>68</v>
      </c>
      <c r="S1" s="384" t="s">
        <v>63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9"/>
      <c r="O2" s="385" t="s">
        <v>69</v>
      </c>
      <c r="P2" s="384">
        <v>3</v>
      </c>
      <c r="Q2" s="386">
        <f>SUM(F11:F13)</f>
        <v>0</v>
      </c>
      <c r="R2" s="386" t="s">
        <v>70</v>
      </c>
      <c r="S2" s="384" t="s">
        <v>70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9"/>
      <c r="O3" s="387" t="s">
        <v>72</v>
      </c>
      <c r="P3" s="388" t="s">
        <v>70</v>
      </c>
      <c r="Q3" s="389" t="s">
        <v>70</v>
      </c>
      <c r="R3" s="390" t="s">
        <v>70</v>
      </c>
      <c r="S3" s="389" t="s">
        <v>70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671"/>
      <c r="G4" s="671"/>
      <c r="H4" s="444"/>
      <c r="I4" s="444"/>
      <c r="J4" s="444"/>
      <c r="M4" s="444"/>
      <c r="O4" s="384" t="s">
        <v>73</v>
      </c>
      <c r="P4" s="392" t="s">
        <v>70</v>
      </c>
      <c r="Q4" s="392" t="s">
        <v>70</v>
      </c>
      <c r="R4" s="384" t="s">
        <v>70</v>
      </c>
      <c r="S4" s="384" t="s">
        <v>70</v>
      </c>
    </row>
    <row r="5" spans="1:38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15"/>
      <c r="P5" s="670" t="s">
        <v>53</v>
      </c>
      <c r="Q5" s="670" t="s">
        <v>54</v>
      </c>
    </row>
    <row r="6" spans="1:38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15"/>
      <c r="P6" s="670"/>
      <c r="Q6" s="670"/>
    </row>
    <row r="7" spans="1:38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15"/>
      <c r="P7" s="670"/>
      <c r="Q7" s="670"/>
    </row>
    <row r="8" spans="1:38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15"/>
      <c r="P8" s="670"/>
      <c r="Q8" s="670"/>
    </row>
    <row r="9" spans="1:38" x14ac:dyDescent="0.5">
      <c r="A9" s="10"/>
      <c r="B9" s="10"/>
      <c r="C9" s="10"/>
      <c r="D9" s="10"/>
      <c r="E9" s="29" t="s">
        <v>41</v>
      </c>
      <c r="F9" s="247"/>
      <c r="G9" s="100"/>
      <c r="H9" s="100"/>
      <c r="I9" s="100"/>
      <c r="J9" s="100"/>
      <c r="K9" s="182"/>
      <c r="L9" s="182"/>
      <c r="M9" s="100"/>
    </row>
    <row r="10" spans="1:38" s="7" customFormat="1" x14ac:dyDescent="0.2">
      <c r="A10" s="5"/>
      <c r="B10" s="5"/>
      <c r="C10" s="5"/>
      <c r="D10" s="5"/>
      <c r="E10" s="14" t="s">
        <v>2</v>
      </c>
      <c r="F10" s="9"/>
      <c r="G10" s="9"/>
      <c r="H10" s="9"/>
      <c r="I10" s="9"/>
      <c r="J10" s="9"/>
      <c r="K10" s="8"/>
      <c r="L10" s="8"/>
      <c r="M10" s="9"/>
      <c r="N10" s="394"/>
      <c r="O10" s="387"/>
      <c r="P10" s="387"/>
      <c r="Q10" s="387"/>
      <c r="R10" s="387"/>
      <c r="S10" s="387"/>
    </row>
    <row r="11" spans="1:38" s="7" customFormat="1" x14ac:dyDescent="0.2">
      <c r="A11" s="259"/>
      <c r="B11" s="259"/>
      <c r="C11" s="324"/>
      <c r="D11" s="259"/>
      <c r="E11" s="317"/>
      <c r="F11" s="322"/>
      <c r="G11" s="9"/>
      <c r="H11" s="9"/>
      <c r="I11" s="258">
        <f>+[34]วน.!I11</f>
        <v>0</v>
      </c>
      <c r="J11" s="9"/>
      <c r="K11" s="8"/>
      <c r="L11" s="8"/>
      <c r="M11" s="258">
        <f>+[34]วน.!M11</f>
        <v>0</v>
      </c>
      <c r="N11" s="393">
        <v>1</v>
      </c>
      <c r="O11" s="387"/>
      <c r="P11" s="387"/>
      <c r="Q11" s="387"/>
      <c r="R11" s="387"/>
      <c r="S11" s="387"/>
    </row>
    <row r="12" spans="1:38" s="7" customFormat="1" x14ac:dyDescent="0.2">
      <c r="A12" s="259"/>
      <c r="B12" s="259"/>
      <c r="C12" s="324"/>
      <c r="D12" s="259"/>
      <c r="E12" s="317"/>
      <c r="F12" s="322"/>
      <c r="G12" s="9"/>
      <c r="H12" s="9"/>
      <c r="I12" s="258">
        <f>+[34]วน.!I12</f>
        <v>0</v>
      </c>
      <c r="J12" s="9"/>
      <c r="K12" s="8"/>
      <c r="L12" s="8"/>
      <c r="M12" s="258">
        <f>+[34]วน.!M12</f>
        <v>0</v>
      </c>
      <c r="N12" s="393">
        <v>1</v>
      </c>
      <c r="O12" s="387"/>
      <c r="P12" s="387"/>
      <c r="Q12" s="387"/>
      <c r="R12" s="387"/>
      <c r="S12" s="387"/>
    </row>
    <row r="13" spans="1:38" s="7" customFormat="1" x14ac:dyDescent="0.2">
      <c r="A13" s="259"/>
      <c r="B13" s="259"/>
      <c r="C13" s="324"/>
      <c r="D13" s="259"/>
      <c r="E13" s="317"/>
      <c r="F13" s="322"/>
      <c r="G13" s="9"/>
      <c r="H13" s="9"/>
      <c r="I13" s="258">
        <f>+[34]วน.!I13</f>
        <v>0</v>
      </c>
      <c r="J13" s="9"/>
      <c r="K13" s="8"/>
      <c r="L13" s="8"/>
      <c r="M13" s="258">
        <f>+[34]วน.!M13</f>
        <v>0</v>
      </c>
      <c r="N13" s="393">
        <v>1</v>
      </c>
      <c r="O13" s="387"/>
      <c r="P13" s="387"/>
      <c r="Q13" s="387"/>
      <c r="R13" s="387"/>
      <c r="S13" s="387"/>
    </row>
    <row r="14" spans="1:38" s="7" customFormat="1" x14ac:dyDescent="0.2">
      <c r="A14" s="5"/>
      <c r="B14" s="11"/>
      <c r="C14" s="11"/>
      <c r="D14" s="11"/>
      <c r="E14" s="6"/>
      <c r="F14" s="248"/>
      <c r="G14" s="9"/>
      <c r="H14" s="9"/>
      <c r="I14" s="9"/>
      <c r="J14" s="9"/>
      <c r="K14" s="8"/>
      <c r="L14" s="8"/>
      <c r="M14" s="9"/>
      <c r="N14" s="394"/>
      <c r="O14" s="387"/>
      <c r="P14" s="387"/>
      <c r="Q14" s="387"/>
      <c r="R14" s="387"/>
      <c r="S14" s="387"/>
    </row>
    <row r="15" spans="1:38" s="12" customFormat="1" ht="22.5" thickBot="1" x14ac:dyDescent="0.55000000000000004">
      <c r="A15" s="232">
        <f>+A13</f>
        <v>0</v>
      </c>
      <c r="B15" s="232"/>
      <c r="C15" s="232"/>
      <c r="D15" s="232"/>
      <c r="E15" s="233" t="s">
        <v>58</v>
      </c>
      <c r="F15" s="249">
        <f>SUM(F11:F14)</f>
        <v>0</v>
      </c>
      <c r="G15" s="249">
        <f>SUM(G14:G14)</f>
        <v>0</v>
      </c>
      <c r="H15" s="249">
        <f>SUM(H14:H14)</f>
        <v>0</v>
      </c>
      <c r="I15" s="249"/>
      <c r="J15" s="249">
        <f>SUM(J14:J14)</f>
        <v>0</v>
      </c>
      <c r="K15" s="249">
        <f>SUM(K14:K14)</f>
        <v>0</v>
      </c>
      <c r="L15" s="249">
        <f>SUM(L14:L14)</f>
        <v>0</v>
      </c>
      <c r="M15" s="249"/>
      <c r="N15" s="416"/>
      <c r="O15" s="397">
        <f>+F15+G15</f>
        <v>0</v>
      </c>
      <c r="P15" s="398"/>
      <c r="Q15" s="398"/>
      <c r="R15" s="399"/>
      <c r="S15" s="399"/>
    </row>
    <row r="16" spans="1:38" s="16" customFormat="1" ht="22.5" hidden="1" thickBot="1" x14ac:dyDescent="0.25">
      <c r="A16" s="14"/>
      <c r="B16" s="14"/>
      <c r="C16" s="14"/>
      <c r="D16" s="14"/>
      <c r="E16" s="27" t="s">
        <v>59</v>
      </c>
      <c r="F16" s="31"/>
      <c r="G16" s="31"/>
      <c r="H16" s="31"/>
      <c r="I16" s="31"/>
      <c r="J16" s="31"/>
      <c r="K16" s="15"/>
      <c r="L16" s="15"/>
      <c r="M16" s="31"/>
      <c r="N16" s="417"/>
      <c r="O16" s="400"/>
      <c r="P16" s="400"/>
      <c r="Q16" s="400"/>
      <c r="R16" s="400"/>
      <c r="S16" s="400"/>
    </row>
    <row r="17" spans="1:46" s="16" customFormat="1" ht="22.5" hidden="1" thickBot="1" x14ac:dyDescent="0.25">
      <c r="A17" s="14"/>
      <c r="B17" s="14"/>
      <c r="C17" s="14"/>
      <c r="D17" s="14"/>
      <c r="E17" s="27"/>
      <c r="F17" s="31"/>
      <c r="G17" s="31"/>
      <c r="H17" s="31"/>
      <c r="I17" s="31"/>
      <c r="J17" s="31"/>
      <c r="K17" s="15"/>
      <c r="L17" s="15"/>
      <c r="M17" s="31"/>
      <c r="N17" s="417"/>
      <c r="O17" s="400"/>
      <c r="P17" s="400"/>
      <c r="Q17" s="400"/>
      <c r="R17" s="400"/>
      <c r="S17" s="400"/>
    </row>
    <row r="18" spans="1:46" s="7" customFormat="1" ht="22.5" hidden="1" thickBot="1" x14ac:dyDescent="0.25">
      <c r="A18" s="5"/>
      <c r="B18" s="5"/>
      <c r="C18" s="5"/>
      <c r="D18" s="5"/>
      <c r="E18" s="6"/>
      <c r="F18" s="8"/>
      <c r="G18" s="9"/>
      <c r="H18" s="9"/>
      <c r="I18" s="9"/>
      <c r="J18" s="9"/>
      <c r="K18" s="8"/>
      <c r="L18" s="8"/>
      <c r="M18" s="9"/>
      <c r="N18" s="394"/>
      <c r="O18" s="387"/>
      <c r="P18" s="387"/>
      <c r="Q18" s="387"/>
      <c r="R18" s="387"/>
      <c r="S18" s="387"/>
    </row>
    <row r="19" spans="1:46" s="16" customFormat="1" ht="22.5" hidden="1" thickBot="1" x14ac:dyDescent="0.55000000000000004">
      <c r="A19" s="235"/>
      <c r="B19" s="235"/>
      <c r="C19" s="235"/>
      <c r="D19" s="235"/>
      <c r="E19" s="236" t="s">
        <v>60</v>
      </c>
      <c r="F19" s="250">
        <f>SUM(F17:F18)</f>
        <v>0</v>
      </c>
      <c r="G19" s="250">
        <f>SUM(G17:G18)</f>
        <v>0</v>
      </c>
      <c r="H19" s="250">
        <f>SUM(H17:H18)</f>
        <v>0</v>
      </c>
      <c r="I19" s="250"/>
      <c r="J19" s="250">
        <f>SUM(J17:J18)</f>
        <v>0</v>
      </c>
      <c r="K19" s="250">
        <f>SUM(K17:K18)</f>
        <v>0</v>
      </c>
      <c r="L19" s="250">
        <f>SUM(L17:L18)</f>
        <v>0</v>
      </c>
      <c r="M19" s="250"/>
      <c r="N19" s="415"/>
      <c r="O19" s="402">
        <f>+F19+G19</f>
        <v>0</v>
      </c>
      <c r="P19" s="398"/>
      <c r="Q19" s="398"/>
      <c r="R19" s="400"/>
      <c r="S19" s="400"/>
    </row>
    <row r="20" spans="1:46" s="25" customFormat="1" ht="22.5" thickBot="1" x14ac:dyDescent="0.55000000000000004">
      <c r="A20" s="238">
        <f>+A15+A19</f>
        <v>0</v>
      </c>
      <c r="B20" s="239"/>
      <c r="C20" s="239"/>
      <c r="D20" s="239"/>
      <c r="E20" s="239" t="s">
        <v>541</v>
      </c>
      <c r="F20" s="251">
        <f>F15+F19</f>
        <v>0</v>
      </c>
      <c r="G20" s="240">
        <f>+G15+G19</f>
        <v>0</v>
      </c>
      <c r="H20" s="240">
        <f>+H15+H19</f>
        <v>0</v>
      </c>
      <c r="I20" s="240"/>
      <c r="J20" s="240">
        <f>J15+J19</f>
        <v>0</v>
      </c>
      <c r="K20" s="240">
        <f>K15+K19</f>
        <v>0</v>
      </c>
      <c r="L20" s="240">
        <f>L15+L19</f>
        <v>0</v>
      </c>
      <c r="M20" s="240"/>
      <c r="N20" s="418"/>
      <c r="O20" s="386">
        <f>+O15+O19</f>
        <v>0</v>
      </c>
      <c r="P20" s="403"/>
      <c r="Q20" s="403"/>
      <c r="R20" s="384"/>
      <c r="S20" s="384"/>
      <c r="T20" s="2"/>
      <c r="U20" s="2"/>
      <c r="V20" s="2"/>
      <c r="W20" s="2"/>
      <c r="X20" s="2"/>
      <c r="Y20" s="2"/>
      <c r="Z20" s="2"/>
      <c r="AA20" s="2"/>
    </row>
    <row r="21" spans="1:46" s="7" customFormat="1" x14ac:dyDescent="0.2">
      <c r="A21" s="13"/>
      <c r="B21" s="13"/>
      <c r="C21" s="13"/>
      <c r="D21" s="13"/>
      <c r="E21" s="28"/>
      <c r="F21" s="99"/>
      <c r="G21" s="17"/>
      <c r="H21" s="17"/>
      <c r="I21" s="17"/>
      <c r="J21" s="17"/>
      <c r="K21" s="99"/>
      <c r="L21" s="99"/>
      <c r="M21" s="17"/>
      <c r="N21" s="394"/>
      <c r="O21" s="387"/>
      <c r="P21" s="387"/>
      <c r="Q21" s="387"/>
      <c r="R21" s="387"/>
      <c r="S21" s="387"/>
    </row>
    <row r="22" spans="1:46" s="7" customFormat="1" x14ac:dyDescent="0.5">
      <c r="A22" s="13"/>
      <c r="B22" s="13"/>
      <c r="C22" s="13"/>
      <c r="D22" s="13"/>
      <c r="E22" s="28"/>
      <c r="F22" s="252"/>
      <c r="G22" s="17"/>
      <c r="H22" s="17"/>
      <c r="I22" s="17"/>
      <c r="J22" s="17"/>
      <c r="K22" s="99"/>
      <c r="L22" s="99"/>
      <c r="M22" s="17"/>
      <c r="N22" s="394"/>
      <c r="O22" s="387"/>
      <c r="P22" s="387"/>
      <c r="Q22" s="387"/>
      <c r="R22" s="387"/>
      <c r="S22" s="387"/>
    </row>
    <row r="23" spans="1:46" s="273" customFormat="1" x14ac:dyDescent="0.5">
      <c r="A23" s="272"/>
      <c r="B23" s="272"/>
      <c r="C23" s="272"/>
      <c r="D23" s="272"/>
      <c r="F23" s="274"/>
      <c r="G23" s="275"/>
      <c r="H23" s="275"/>
      <c r="I23" s="275"/>
      <c r="J23" s="275"/>
      <c r="K23" s="276"/>
      <c r="L23" s="276"/>
      <c r="M23" s="275"/>
      <c r="N23" s="414"/>
      <c r="O23" s="384"/>
      <c r="P23" s="384"/>
      <c r="Q23" s="384"/>
      <c r="R23" s="384"/>
      <c r="S23" s="384"/>
      <c r="T23" s="277"/>
      <c r="U23" s="277"/>
      <c r="V23" s="277"/>
      <c r="W23" s="277"/>
      <c r="X23" s="277"/>
      <c r="Y23" s="277"/>
      <c r="Z23" s="277"/>
      <c r="AA23" s="277"/>
    </row>
    <row r="24" spans="1:46" s="273" customFormat="1" hidden="1" x14ac:dyDescent="0.5">
      <c r="A24" s="272"/>
      <c r="B24" s="272"/>
      <c r="C24" s="272"/>
      <c r="D24" s="272"/>
      <c r="E24" s="278" t="s">
        <v>64</v>
      </c>
      <c r="F24" s="279"/>
      <c r="G24" s="280"/>
      <c r="H24" s="280"/>
      <c r="I24" s="280"/>
      <c r="J24" s="280"/>
      <c r="K24" s="276"/>
      <c r="L24" s="276"/>
      <c r="M24" s="280"/>
      <c r="N24" s="414"/>
      <c r="O24" s="384"/>
      <c r="P24" s="384"/>
      <c r="Q24" s="384"/>
      <c r="R24" s="384"/>
      <c r="S24" s="384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</row>
    <row r="25" spans="1:46" s="273" customFormat="1" hidden="1" x14ac:dyDescent="0.5">
      <c r="A25" s="272"/>
      <c r="B25" s="272"/>
      <c r="C25" s="272"/>
      <c r="D25" s="272"/>
      <c r="E25" s="273" t="s">
        <v>65</v>
      </c>
      <c r="F25" s="274"/>
      <c r="G25" s="275"/>
      <c r="H25" s="275"/>
      <c r="I25" s="275"/>
      <c r="J25" s="275"/>
      <c r="K25" s="276"/>
      <c r="L25" s="276"/>
      <c r="M25" s="275"/>
      <c r="N25" s="414"/>
      <c r="O25" s="384"/>
      <c r="P25" s="384"/>
      <c r="Q25" s="384"/>
      <c r="R25" s="384"/>
      <c r="S25" s="384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</row>
    <row r="26" spans="1:46" s="273" customFormat="1" hidden="1" x14ac:dyDescent="0.5">
      <c r="A26" s="272"/>
      <c r="B26" s="272"/>
      <c r="C26" s="272"/>
      <c r="D26" s="272"/>
      <c r="E26" s="273" t="s">
        <v>66</v>
      </c>
      <c r="F26" s="274"/>
      <c r="G26" s="275"/>
      <c r="H26" s="275"/>
      <c r="I26" s="275"/>
      <c r="J26" s="275"/>
      <c r="K26" s="276"/>
      <c r="L26" s="276"/>
      <c r="M26" s="275"/>
      <c r="N26" s="414"/>
      <c r="O26" s="384"/>
      <c r="P26" s="384"/>
      <c r="Q26" s="384"/>
      <c r="R26" s="384"/>
      <c r="S26" s="384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</row>
    <row r="27" spans="1:46" s="273" customFormat="1" hidden="1" x14ac:dyDescent="0.5">
      <c r="A27" s="272"/>
      <c r="B27" s="272"/>
      <c r="C27" s="272"/>
      <c r="D27" s="272"/>
      <c r="E27" s="273" t="s">
        <v>67</v>
      </c>
      <c r="F27" s="274"/>
      <c r="G27" s="275"/>
      <c r="H27" s="275"/>
      <c r="I27" s="275"/>
      <c r="J27" s="275"/>
      <c r="K27" s="276"/>
      <c r="L27" s="276"/>
      <c r="M27" s="275"/>
      <c r="N27" s="414"/>
      <c r="O27" s="384"/>
      <c r="P27" s="384"/>
      <c r="Q27" s="384"/>
      <c r="R27" s="384"/>
      <c r="S27" s="384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</row>
  </sheetData>
  <autoFilter ref="N1:N27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pageMargins left="0.70866141732283472" right="0.70866141732283472" top="0.59055118110236227" bottom="0.19685039370078741" header="0.31496062992125984" footer="0.31496062992125984"/>
  <pageSetup paperSize="9" scale="85" orientation="landscape" blackAndWhite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N4" sqref="N4"/>
    </sheetView>
  </sheetViews>
  <sheetFormatPr defaultColWidth="9.140625" defaultRowHeight="24" x14ac:dyDescent="0.55000000000000004"/>
  <cols>
    <col min="1" max="1" width="25.85546875" style="35" customWidth="1"/>
    <col min="2" max="2" width="8.85546875" style="35" customWidth="1"/>
    <col min="3" max="3" width="21.5703125" style="35" customWidth="1"/>
    <col min="4" max="4" width="9.140625" style="35" customWidth="1"/>
    <col min="5" max="5" width="9.140625" style="34"/>
    <col min="6" max="6" width="27.140625" style="35" customWidth="1"/>
    <col min="7" max="7" width="9.140625" style="35" customWidth="1"/>
    <col min="8" max="8" width="9.140625" style="35"/>
    <col min="9" max="9" width="35.5703125" style="34" bestFit="1" customWidth="1"/>
    <col min="10" max="16384" width="9.140625" style="35"/>
  </cols>
  <sheetData>
    <row r="1" spans="1:9" s="67" customFormat="1" ht="27.75" x14ac:dyDescent="0.65">
      <c r="E1" s="68"/>
      <c r="I1" s="68"/>
    </row>
    <row r="2" spans="1:9" x14ac:dyDescent="0.55000000000000004">
      <c r="A2" s="672" t="s">
        <v>542</v>
      </c>
      <c r="B2" s="672"/>
      <c r="C2" s="672"/>
      <c r="D2" s="672"/>
    </row>
    <row r="3" spans="1:9" s="37" customFormat="1" x14ac:dyDescent="0.55000000000000004">
      <c r="A3" s="672" t="s">
        <v>543</v>
      </c>
      <c r="B3" s="672"/>
      <c r="C3" s="672"/>
      <c r="D3" s="672"/>
      <c r="E3" s="36"/>
      <c r="I3" s="36"/>
    </row>
    <row r="4" spans="1:9" s="37" customFormat="1" x14ac:dyDescent="0.55000000000000004">
      <c r="A4" s="672" t="s">
        <v>544</v>
      </c>
      <c r="B4" s="672"/>
      <c r="C4" s="672"/>
      <c r="D4" s="672"/>
      <c r="E4" s="36"/>
      <c r="I4" s="36"/>
    </row>
    <row r="6" spans="1:9" x14ac:dyDescent="0.55000000000000004">
      <c r="A6" s="673" t="s">
        <v>4</v>
      </c>
      <c r="B6" s="675" t="s">
        <v>545</v>
      </c>
      <c r="C6" s="676"/>
      <c r="D6" s="677"/>
    </row>
    <row r="7" spans="1:9" ht="48" x14ac:dyDescent="0.55000000000000004">
      <c r="A7" s="674"/>
      <c r="B7" s="69" t="s">
        <v>546</v>
      </c>
      <c r="C7" s="70" t="s">
        <v>547</v>
      </c>
      <c r="D7" s="69" t="s">
        <v>548</v>
      </c>
      <c r="F7" s="76"/>
    </row>
    <row r="8" spans="1:9" ht="24.75" thickBot="1" x14ac:dyDescent="0.6">
      <c r="A8" s="71" t="s">
        <v>549</v>
      </c>
      <c r="B8" s="72" t="e">
        <f>+B9+B12</f>
        <v>#REF!</v>
      </c>
      <c r="C8" s="73" t="e">
        <f>+C9+C12</f>
        <v>#REF!</v>
      </c>
      <c r="D8" s="73" t="e">
        <f>+D9+D12</f>
        <v>#REF!</v>
      </c>
      <c r="F8" s="82"/>
    </row>
    <row r="9" spans="1:9" ht="24.75" thickTop="1" x14ac:dyDescent="0.55000000000000004">
      <c r="A9" s="74" t="s">
        <v>65</v>
      </c>
      <c r="B9" s="81" t="e">
        <f>+B10+B11</f>
        <v>#REF!</v>
      </c>
      <c r="C9" s="75" t="e">
        <f>+C10+C11</f>
        <v>#REF!</v>
      </c>
      <c r="D9" s="80" t="e">
        <f>+C9*100/C8</f>
        <v>#REF!</v>
      </c>
      <c r="F9" s="76"/>
    </row>
    <row r="10" spans="1:9" x14ac:dyDescent="0.55000000000000004">
      <c r="A10" s="74" t="s">
        <v>550</v>
      </c>
      <c r="B10" s="81">
        <f>+Sheet2!F44</f>
        <v>0</v>
      </c>
      <c r="C10" s="75" t="e">
        <f>+Sheet2!E44</f>
        <v>#REF!</v>
      </c>
      <c r="D10" s="256"/>
      <c r="F10" s="76"/>
    </row>
    <row r="11" spans="1:9" x14ac:dyDescent="0.55000000000000004">
      <c r="A11" s="74" t="s">
        <v>551</v>
      </c>
      <c r="B11" s="81" t="e">
        <f>+Sheet2!N44</f>
        <v>#REF!</v>
      </c>
      <c r="C11" s="75" t="e">
        <f>+Sheet2!M44</f>
        <v>#REF!</v>
      </c>
      <c r="D11" s="80"/>
      <c r="F11" s="76"/>
    </row>
    <row r="12" spans="1:9" x14ac:dyDescent="0.55000000000000004">
      <c r="A12" s="74" t="s">
        <v>66</v>
      </c>
      <c r="B12" s="81" t="e">
        <f>+B13+B14</f>
        <v>#REF!</v>
      </c>
      <c r="C12" s="75" t="e">
        <f>+C13+C14</f>
        <v>#REF!</v>
      </c>
      <c r="D12" s="80" t="e">
        <f>+C12*100/C8</f>
        <v>#REF!</v>
      </c>
      <c r="F12" s="82"/>
    </row>
    <row r="13" spans="1:9" x14ac:dyDescent="0.55000000000000004">
      <c r="A13" s="74" t="s">
        <v>550</v>
      </c>
      <c r="B13" s="81">
        <f>+Sheet2!H44</f>
        <v>281</v>
      </c>
      <c r="C13" s="75" t="e">
        <f>+Sheet2!G44</f>
        <v>#REF!</v>
      </c>
      <c r="D13" s="80" t="e">
        <f>+C13*100/C12</f>
        <v>#REF!</v>
      </c>
      <c r="F13" s="76"/>
    </row>
    <row r="14" spans="1:9" x14ac:dyDescent="0.55000000000000004">
      <c r="A14" s="74" t="s">
        <v>551</v>
      </c>
      <c r="B14" s="81" t="e">
        <f>+Sheet2!P44</f>
        <v>#REF!</v>
      </c>
      <c r="C14" s="120" t="e">
        <f>+Sheet2!O44</f>
        <v>#REF!</v>
      </c>
      <c r="D14" s="80" t="e">
        <f>+C14*100/C12</f>
        <v>#REF!</v>
      </c>
      <c r="F14" s="76"/>
    </row>
    <row r="15" spans="1:9" x14ac:dyDescent="0.55000000000000004">
      <c r="A15" s="87" t="s">
        <v>67</v>
      </c>
      <c r="B15" s="91" t="e">
        <f>+Sheet2!Z44</f>
        <v>#REF!</v>
      </c>
      <c r="C15" s="89" t="e">
        <f>+Sheet2!Y44</f>
        <v>#REF!</v>
      </c>
      <c r="D15" s="92" t="e">
        <f>+C15*100/C8</f>
        <v>#REF!</v>
      </c>
      <c r="F15" s="82"/>
    </row>
    <row r="16" spans="1:9" x14ac:dyDescent="0.55000000000000004">
      <c r="F16" s="82"/>
    </row>
    <row r="17" spans="1:9" x14ac:dyDescent="0.55000000000000004">
      <c r="B17" s="124"/>
      <c r="C17" s="82"/>
      <c r="F17" s="34"/>
    </row>
    <row r="18" spans="1:9" x14ac:dyDescent="0.55000000000000004">
      <c r="C18" s="82"/>
    </row>
    <row r="19" spans="1:9" x14ac:dyDescent="0.55000000000000004">
      <c r="A19" s="672" t="s">
        <v>552</v>
      </c>
      <c r="B19" s="672"/>
      <c r="C19" s="672"/>
      <c r="D19" s="672"/>
      <c r="E19" s="672"/>
      <c r="F19" s="672"/>
      <c r="G19" s="672"/>
    </row>
    <row r="20" spans="1:9" x14ac:dyDescent="0.55000000000000004">
      <c r="A20" s="672" t="s">
        <v>553</v>
      </c>
      <c r="B20" s="672"/>
      <c r="C20" s="672"/>
      <c r="D20" s="672"/>
      <c r="E20" s="672"/>
      <c r="F20" s="672"/>
      <c r="G20" s="672"/>
    </row>
    <row r="21" spans="1:9" ht="30.75" customHeight="1" x14ac:dyDescent="0.55000000000000004">
      <c r="A21" s="678"/>
      <c r="B21" s="678"/>
      <c r="C21" s="678"/>
      <c r="D21" s="678"/>
      <c r="E21" s="678"/>
      <c r="F21" s="678"/>
      <c r="G21" s="83"/>
    </row>
    <row r="22" spans="1:9" ht="47.25" customHeight="1" x14ac:dyDescent="0.55000000000000004">
      <c r="A22" s="673" t="s">
        <v>4</v>
      </c>
      <c r="B22" s="679" t="s">
        <v>554</v>
      </c>
      <c r="C22" s="680"/>
      <c r="D22" s="681"/>
      <c r="E22" s="679" t="s">
        <v>555</v>
      </c>
      <c r="F22" s="680"/>
      <c r="G22" s="681"/>
    </row>
    <row r="23" spans="1:9" s="83" customFormat="1" ht="48" x14ac:dyDescent="0.2">
      <c r="A23" s="674"/>
      <c r="B23" s="69" t="s">
        <v>546</v>
      </c>
      <c r="C23" s="70" t="s">
        <v>547</v>
      </c>
      <c r="D23" s="69" t="s">
        <v>548</v>
      </c>
      <c r="E23" s="84" t="s">
        <v>546</v>
      </c>
      <c r="F23" s="446" t="s">
        <v>547</v>
      </c>
      <c r="G23" s="69" t="s">
        <v>548</v>
      </c>
      <c r="I23" s="168"/>
    </row>
    <row r="24" spans="1:9" s="37" customFormat="1" ht="24.75" thickBot="1" x14ac:dyDescent="0.6">
      <c r="A24" s="71" t="s">
        <v>549</v>
      </c>
      <c r="B24" s="93"/>
      <c r="C24" s="73"/>
      <c r="D24" s="73"/>
      <c r="E24" s="93"/>
      <c r="F24" s="73"/>
      <c r="G24" s="85">
        <v>100</v>
      </c>
      <c r="I24" s="36"/>
    </row>
    <row r="25" spans="1:9" ht="24.75" thickTop="1" x14ac:dyDescent="0.55000000000000004">
      <c r="A25" s="74" t="s">
        <v>65</v>
      </c>
      <c r="B25" s="96"/>
      <c r="C25" s="75"/>
      <c r="D25" s="75"/>
      <c r="E25" s="94"/>
      <c r="F25" s="75"/>
      <c r="G25" s="86"/>
      <c r="H25" s="76"/>
    </row>
    <row r="26" spans="1:9" x14ac:dyDescent="0.55000000000000004">
      <c r="A26" s="74" t="s">
        <v>66</v>
      </c>
      <c r="B26" s="96"/>
      <c r="C26" s="75"/>
      <c r="D26" s="75"/>
      <c r="E26" s="94"/>
      <c r="F26" s="75"/>
      <c r="G26" s="86"/>
      <c r="H26" s="76"/>
    </row>
    <row r="27" spans="1:9" s="90" customFormat="1" x14ac:dyDescent="0.55000000000000004">
      <c r="A27" s="87" t="s">
        <v>67</v>
      </c>
      <c r="B27" s="88"/>
      <c r="C27" s="89"/>
      <c r="D27" s="89"/>
      <c r="E27" s="95"/>
      <c r="F27" s="89"/>
      <c r="G27" s="89"/>
      <c r="I27" s="227"/>
    </row>
  </sheetData>
  <mergeCells count="11">
    <mergeCell ref="A19:G19"/>
    <mergeCell ref="A20:G20"/>
    <mergeCell ref="A21:F21"/>
    <mergeCell ref="A22:A23"/>
    <mergeCell ref="B22:D22"/>
    <mergeCell ref="E22:G22"/>
    <mergeCell ref="A2:D2"/>
    <mergeCell ref="A3:D3"/>
    <mergeCell ref="A4:D4"/>
    <mergeCell ref="A6:A7"/>
    <mergeCell ref="B6:D6"/>
  </mergeCells>
  <printOptions horizontalCentered="1"/>
  <pageMargins left="0.43307086614173229" right="0.19685039370078741" top="0.74803149606299213" bottom="0.74803149606299213" header="0.31496062992125984" footer="0.31496062992125984"/>
  <pageSetup paperSize="9" orientation="portrait" r:id="rId1"/>
  <headerFooter>
    <oddHeader>&amp;L&amp;D &amp;T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48"/>
  <sheetViews>
    <sheetView zoomScaleNormal="100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AA12" sqref="AA12"/>
    </sheetView>
  </sheetViews>
  <sheetFormatPr defaultColWidth="9.140625" defaultRowHeight="24" x14ac:dyDescent="0.55000000000000004"/>
  <cols>
    <col min="1" max="1" width="4.85546875" style="125" customWidth="1"/>
    <col min="2" max="2" width="9" style="35" customWidth="1"/>
    <col min="3" max="3" width="19.85546875" style="34" customWidth="1"/>
    <col min="4" max="4" width="7.140625" style="125" customWidth="1"/>
    <col min="5" max="5" width="19.140625" style="143" customWidth="1"/>
    <col min="6" max="6" width="7.140625" style="158" customWidth="1"/>
    <col min="7" max="7" width="18.85546875" style="143" customWidth="1"/>
    <col min="8" max="8" width="8.140625" style="125" customWidth="1"/>
    <col min="9" max="9" width="17.42578125" style="143" customWidth="1"/>
    <col min="10" max="10" width="7.42578125" style="125" customWidth="1"/>
    <col min="11" max="11" width="18.85546875" style="34" customWidth="1"/>
    <col min="12" max="12" width="7.85546875" style="125" customWidth="1"/>
    <col min="13" max="13" width="18.85546875" style="34" bestFit="1" customWidth="1"/>
    <col min="14" max="14" width="7.85546875" style="125" customWidth="1"/>
    <col min="15" max="15" width="18.85546875" style="143" customWidth="1"/>
    <col min="16" max="16" width="7.85546875" style="125" customWidth="1"/>
    <col min="17" max="17" width="16.85546875" style="34" customWidth="1"/>
    <col min="18" max="18" width="8.140625" style="35" customWidth="1"/>
    <col min="19" max="19" width="18.140625" style="34" customWidth="1"/>
    <col min="20" max="20" width="6.85546875" style="125" customWidth="1"/>
    <col min="21" max="21" width="19" style="143" customWidth="1"/>
    <col min="22" max="22" width="8" style="125" customWidth="1"/>
    <col min="23" max="23" width="18.85546875" style="143" customWidth="1"/>
    <col min="24" max="24" width="7.42578125" style="125" customWidth="1"/>
    <col min="25" max="25" width="18.85546875" style="34" bestFit="1" customWidth="1"/>
    <col min="26" max="26" width="7.5703125" style="158" customWidth="1"/>
    <col min="27" max="27" width="15.140625" style="35" customWidth="1"/>
    <col min="28" max="28" width="8.5703125" style="34" bestFit="1" customWidth="1"/>
    <col min="29" max="29" width="17.140625" style="35" customWidth="1"/>
    <col min="30" max="30" width="15.140625" style="35" bestFit="1" customWidth="1"/>
    <col min="31" max="16384" width="9.140625" style="35"/>
  </cols>
  <sheetData>
    <row r="1" spans="1:30" s="37" customFormat="1" x14ac:dyDescent="0.55000000000000004">
      <c r="A1" s="452" t="s">
        <v>556</v>
      </c>
      <c r="C1" s="36"/>
      <c r="D1" s="445"/>
      <c r="E1" s="159"/>
      <c r="F1" s="160"/>
      <c r="G1" s="159"/>
      <c r="H1" s="445"/>
      <c r="I1" s="159"/>
      <c r="J1" s="445"/>
      <c r="K1" s="36"/>
      <c r="L1" s="445"/>
      <c r="M1" s="36"/>
      <c r="N1" s="445"/>
      <c r="O1" s="159"/>
      <c r="P1" s="445"/>
      <c r="Q1" s="36"/>
      <c r="S1" s="36"/>
      <c r="T1" s="445"/>
      <c r="U1" s="159"/>
      <c r="V1" s="445"/>
      <c r="W1" s="159"/>
      <c r="X1" s="445"/>
      <c r="Y1" s="36"/>
      <c r="Z1" s="160"/>
      <c r="AB1" s="36"/>
    </row>
    <row r="2" spans="1:30" x14ac:dyDescent="0.55000000000000004">
      <c r="A2" s="682" t="s">
        <v>557</v>
      </c>
      <c r="B2" s="682"/>
      <c r="C2" s="682"/>
      <c r="D2" s="682"/>
      <c r="E2" s="682"/>
      <c r="H2" s="451"/>
      <c r="J2" s="451"/>
      <c r="L2" s="451"/>
      <c r="N2" s="451"/>
      <c r="P2" s="451"/>
      <c r="T2" s="451"/>
      <c r="V2" s="451"/>
      <c r="X2" s="451"/>
    </row>
    <row r="3" spans="1:30" s="37" customFormat="1" x14ac:dyDescent="0.55000000000000004">
      <c r="A3" s="683" t="s">
        <v>558</v>
      </c>
      <c r="B3" s="673" t="s">
        <v>1</v>
      </c>
      <c r="C3" s="675" t="s">
        <v>2</v>
      </c>
      <c r="D3" s="676"/>
      <c r="E3" s="676"/>
      <c r="F3" s="676"/>
      <c r="G3" s="676"/>
      <c r="H3" s="676"/>
      <c r="I3" s="676"/>
      <c r="J3" s="677"/>
      <c r="K3" s="675" t="s">
        <v>59</v>
      </c>
      <c r="L3" s="676"/>
      <c r="M3" s="676"/>
      <c r="N3" s="676"/>
      <c r="O3" s="676"/>
      <c r="P3" s="676"/>
      <c r="Q3" s="676"/>
      <c r="R3" s="677"/>
      <c r="S3" s="675" t="s">
        <v>559</v>
      </c>
      <c r="T3" s="676"/>
      <c r="U3" s="676"/>
      <c r="V3" s="676"/>
      <c r="W3" s="676"/>
      <c r="X3" s="676"/>
      <c r="Y3" s="676"/>
      <c r="Z3" s="677"/>
      <c r="AB3" s="36"/>
    </row>
    <row r="4" spans="1:30" s="83" customFormat="1" ht="60.75" customHeight="1" x14ac:dyDescent="0.55000000000000004">
      <c r="A4" s="684"/>
      <c r="B4" s="674"/>
      <c r="C4" s="172" t="s">
        <v>560</v>
      </c>
      <c r="D4" s="186" t="s">
        <v>546</v>
      </c>
      <c r="E4" s="147" t="s">
        <v>65</v>
      </c>
      <c r="F4" s="148" t="s">
        <v>546</v>
      </c>
      <c r="G4" s="174" t="s">
        <v>561</v>
      </c>
      <c r="H4" s="24" t="s">
        <v>546</v>
      </c>
      <c r="I4" s="69" t="s">
        <v>67</v>
      </c>
      <c r="J4" s="24" t="s">
        <v>546</v>
      </c>
      <c r="K4" s="173" t="s">
        <v>560</v>
      </c>
      <c r="L4" s="146" t="s">
        <v>546</v>
      </c>
      <c r="M4" s="174" t="s">
        <v>65</v>
      </c>
      <c r="N4" s="146" t="s">
        <v>546</v>
      </c>
      <c r="O4" s="174" t="s">
        <v>561</v>
      </c>
      <c r="P4" s="178" t="s">
        <v>546</v>
      </c>
      <c r="Q4" s="175" t="s">
        <v>67</v>
      </c>
      <c r="R4" s="24" t="s">
        <v>546</v>
      </c>
      <c r="S4" s="176" t="s">
        <v>560</v>
      </c>
      <c r="T4" s="24" t="s">
        <v>546</v>
      </c>
      <c r="U4" s="147" t="s">
        <v>65</v>
      </c>
      <c r="V4" s="24" t="s">
        <v>546</v>
      </c>
      <c r="W4" s="174" t="s">
        <v>561</v>
      </c>
      <c r="X4" s="178" t="s">
        <v>546</v>
      </c>
      <c r="Y4" s="144" t="s">
        <v>67</v>
      </c>
      <c r="Z4" s="148" t="s">
        <v>546</v>
      </c>
      <c r="AB4" s="228" t="s">
        <v>548</v>
      </c>
    </row>
    <row r="5" spans="1:30" x14ac:dyDescent="0.55000000000000004">
      <c r="A5" s="104"/>
      <c r="B5" s="103" t="s">
        <v>57</v>
      </c>
      <c r="C5" s="127">
        <f>+'ภ.5 (อื่น) '!M15</f>
        <v>0</v>
      </c>
      <c r="D5" s="129">
        <f>+'ภ.5 (อื่น) '!A15</f>
        <v>3</v>
      </c>
      <c r="E5" s="130">
        <f>+'ภ.5 (อื่น) '!J15</f>
        <v>0</v>
      </c>
      <c r="F5" s="155">
        <f>+'ภ.5 (อื่น) '!N15</f>
        <v>0</v>
      </c>
      <c r="G5" s="130">
        <f t="shared" ref="G5:H8" si="0">+C5-E5</f>
        <v>0</v>
      </c>
      <c r="H5" s="129">
        <f t="shared" si="0"/>
        <v>3</v>
      </c>
      <c r="I5" s="130">
        <f>+'ภ.5 (อื่น) '!K15</f>
        <v>0</v>
      </c>
      <c r="J5" s="129">
        <f>+'ภ.5 (อื่น) '!O15</f>
        <v>0</v>
      </c>
      <c r="K5" s="127">
        <f>+'ภ.5 (อื่น) '!M20</f>
        <v>0</v>
      </c>
      <c r="L5" s="130">
        <f>+'ภ.5 (อื่น) '!A20</f>
        <v>2</v>
      </c>
      <c r="M5" s="127">
        <f>+'ภ.5 (อื่น) '!J20</f>
        <v>0</v>
      </c>
      <c r="N5" s="130">
        <f>+'ภ.5 (อื่น) '!N20</f>
        <v>0</v>
      </c>
      <c r="O5" s="130">
        <f t="shared" ref="O5:P8" si="1">+K5-M5</f>
        <v>0</v>
      </c>
      <c r="P5" s="130">
        <f t="shared" si="1"/>
        <v>2</v>
      </c>
      <c r="Q5" s="127">
        <f>+'ภ.5 (อื่น) '!K20</f>
        <v>0</v>
      </c>
      <c r="R5" s="105">
        <f>+'ภ.5 (อื่น) '!O20</f>
        <v>0</v>
      </c>
      <c r="S5" s="127">
        <f t="shared" ref="S5:V8" si="2">+C5+K5</f>
        <v>0</v>
      </c>
      <c r="T5" s="126">
        <f t="shared" si="2"/>
        <v>5</v>
      </c>
      <c r="U5" s="130">
        <f t="shared" si="2"/>
        <v>0</v>
      </c>
      <c r="V5" s="126">
        <f t="shared" si="2"/>
        <v>0</v>
      </c>
      <c r="W5" s="130">
        <f>+S5</f>
        <v>0</v>
      </c>
      <c r="X5" s="126"/>
      <c r="Y5" s="127">
        <f t="shared" ref="Y5:Z8" si="3">+I5+Q5</f>
        <v>0</v>
      </c>
      <c r="Z5" s="155">
        <f t="shared" si="3"/>
        <v>0</v>
      </c>
      <c r="AB5" s="34">
        <v>0</v>
      </c>
      <c r="AC5" s="76">
        <f>+S5-'ภ.5 (อื่น) '!M21</f>
        <v>0</v>
      </c>
    </row>
    <row r="6" spans="1:30" x14ac:dyDescent="0.55000000000000004">
      <c r="A6" s="104">
        <v>1</v>
      </c>
      <c r="B6" s="103" t="s">
        <v>36</v>
      </c>
      <c r="C6" s="127">
        <f>+สลก.ตร.!O19</f>
        <v>0</v>
      </c>
      <c r="D6" s="129">
        <f>+สลก.ตร.!A19</f>
        <v>0</v>
      </c>
      <c r="E6" s="130">
        <f>+สลก.ตร.!J19</f>
        <v>0</v>
      </c>
      <c r="F6" s="155">
        <f>+สลก.ตร.!P19</f>
        <v>0</v>
      </c>
      <c r="G6" s="130">
        <f t="shared" si="0"/>
        <v>0</v>
      </c>
      <c r="H6" s="129">
        <f t="shared" si="0"/>
        <v>0</v>
      </c>
      <c r="I6" s="130">
        <f>+สลก.ตร.!K19</f>
        <v>0</v>
      </c>
      <c r="J6" s="129">
        <f>+สลก.ตร.!Q19</f>
        <v>0</v>
      </c>
      <c r="K6" s="127">
        <f>+สลก.ตร.!O23</f>
        <v>0</v>
      </c>
      <c r="L6" s="130">
        <f>+สลก.ตร.!A23</f>
        <v>0</v>
      </c>
      <c r="M6" s="127">
        <f>+สลก.ตร.!J23</f>
        <v>0</v>
      </c>
      <c r="N6" s="130">
        <f>+สลก.ตร.!P23</f>
        <v>0</v>
      </c>
      <c r="O6" s="130">
        <f t="shared" si="1"/>
        <v>0</v>
      </c>
      <c r="P6" s="130">
        <f t="shared" si="1"/>
        <v>0</v>
      </c>
      <c r="Q6" s="127">
        <f>+สลก.ตร.!K23</f>
        <v>0</v>
      </c>
      <c r="R6" s="105">
        <f>+สลก.ตร.!Q23</f>
        <v>0</v>
      </c>
      <c r="S6" s="127">
        <f t="shared" si="2"/>
        <v>0</v>
      </c>
      <c r="T6" s="126">
        <f t="shared" si="2"/>
        <v>0</v>
      </c>
      <c r="U6" s="130">
        <f t="shared" si="2"/>
        <v>0</v>
      </c>
      <c r="V6" s="126">
        <f t="shared" si="2"/>
        <v>0</v>
      </c>
      <c r="W6" s="130">
        <f t="shared" ref="W6:X8" si="4">+G6+O6</f>
        <v>0</v>
      </c>
      <c r="X6" s="126">
        <f t="shared" si="4"/>
        <v>0</v>
      </c>
      <c r="Y6" s="127">
        <f t="shared" si="3"/>
        <v>0</v>
      </c>
      <c r="Z6" s="155">
        <f t="shared" si="3"/>
        <v>0</v>
      </c>
      <c r="AA6" s="124">
        <f>+S6-สลก.ตร.!O25</f>
        <v>0</v>
      </c>
      <c r="AB6" s="34" t="e">
        <f>+Y6*100/S6</f>
        <v>#DIV/0!</v>
      </c>
      <c r="AC6" s="76">
        <f>+S6-สลก.ตร.!O25</f>
        <v>0</v>
      </c>
      <c r="AD6" s="76">
        <f>+Y6-สลก.ตร.!K25</f>
        <v>0</v>
      </c>
    </row>
    <row r="7" spans="1:30" x14ac:dyDescent="0.55000000000000004">
      <c r="A7" s="104">
        <v>2</v>
      </c>
      <c r="B7" s="103" t="s">
        <v>37</v>
      </c>
      <c r="C7" s="127">
        <f>+ตท.!O21</f>
        <v>983900</v>
      </c>
      <c r="D7" s="129">
        <f>+ตท.!A21</f>
        <v>9</v>
      </c>
      <c r="E7" s="130">
        <f>+ตท.!J21</f>
        <v>0</v>
      </c>
      <c r="F7" s="155">
        <f>+ตท.!P21</f>
        <v>0</v>
      </c>
      <c r="G7" s="130">
        <f t="shared" si="0"/>
        <v>983900</v>
      </c>
      <c r="H7" s="129">
        <f t="shared" si="0"/>
        <v>9</v>
      </c>
      <c r="I7" s="130">
        <f>+ตท.!K21</f>
        <v>0</v>
      </c>
      <c r="J7" s="129">
        <f>+ตท.!Q21</f>
        <v>0</v>
      </c>
      <c r="K7" s="127">
        <f>+ตท.!O25</f>
        <v>0</v>
      </c>
      <c r="L7" s="130">
        <f>+ตท.!A25</f>
        <v>0</v>
      </c>
      <c r="M7" s="127">
        <f>+ตท.!J25</f>
        <v>0</v>
      </c>
      <c r="N7" s="130">
        <f>+ตท.!P25</f>
        <v>0</v>
      </c>
      <c r="O7" s="130">
        <f t="shared" si="1"/>
        <v>0</v>
      </c>
      <c r="P7" s="130">
        <f t="shared" si="1"/>
        <v>0</v>
      </c>
      <c r="Q7" s="127">
        <f>+ตท.!K25</f>
        <v>0</v>
      </c>
      <c r="R7" s="105">
        <f>+ตท.!Q25</f>
        <v>0</v>
      </c>
      <c r="S7" s="127">
        <f t="shared" si="2"/>
        <v>983900</v>
      </c>
      <c r="T7" s="126">
        <f t="shared" si="2"/>
        <v>9</v>
      </c>
      <c r="U7" s="130">
        <f t="shared" si="2"/>
        <v>0</v>
      </c>
      <c r="V7" s="126">
        <f t="shared" si="2"/>
        <v>0</v>
      </c>
      <c r="W7" s="130">
        <f t="shared" si="4"/>
        <v>983900</v>
      </c>
      <c r="X7" s="126">
        <f t="shared" si="4"/>
        <v>9</v>
      </c>
      <c r="Y7" s="127">
        <f t="shared" si="3"/>
        <v>0</v>
      </c>
      <c r="Z7" s="155">
        <f t="shared" si="3"/>
        <v>0</v>
      </c>
      <c r="AA7" s="124">
        <f>+S7-ตท.!P26</f>
        <v>983900</v>
      </c>
      <c r="AB7" s="34">
        <f>+Y7*100/S7</f>
        <v>0</v>
      </c>
      <c r="AC7" s="76">
        <f>+S7-ตท.!P26</f>
        <v>983900</v>
      </c>
      <c r="AD7" s="76">
        <f>+Y7-ตท.!K26</f>
        <v>0</v>
      </c>
    </row>
    <row r="8" spans="1:30" x14ac:dyDescent="0.55000000000000004">
      <c r="A8" s="104">
        <v>3</v>
      </c>
      <c r="B8" s="103" t="s">
        <v>38</v>
      </c>
      <c r="C8" s="127">
        <f>+สท.!O19</f>
        <v>3742700</v>
      </c>
      <c r="D8" s="129">
        <f>+สท.!A19</f>
        <v>7</v>
      </c>
      <c r="E8" s="130">
        <f>+สท.!J19</f>
        <v>0</v>
      </c>
      <c r="F8" s="155">
        <f>+สท.!P19</f>
        <v>0</v>
      </c>
      <c r="G8" s="130">
        <f t="shared" si="0"/>
        <v>3742700</v>
      </c>
      <c r="H8" s="129">
        <f t="shared" si="0"/>
        <v>7</v>
      </c>
      <c r="I8" s="130">
        <f>+สท.!K19</f>
        <v>0</v>
      </c>
      <c r="J8" s="129">
        <f>+สท.!Q19</f>
        <v>0</v>
      </c>
      <c r="K8" s="127">
        <f>+สท.!O23</f>
        <v>0</v>
      </c>
      <c r="L8" s="130">
        <f>+สท.!A23</f>
        <v>0</v>
      </c>
      <c r="M8" s="127">
        <f>+สท.!J23</f>
        <v>0</v>
      </c>
      <c r="N8" s="130">
        <f>+สท.!P23</f>
        <v>0</v>
      </c>
      <c r="O8" s="130">
        <f t="shared" si="1"/>
        <v>0</v>
      </c>
      <c r="P8" s="130">
        <f t="shared" si="1"/>
        <v>0</v>
      </c>
      <c r="Q8" s="127">
        <f>+สท.!K23</f>
        <v>0</v>
      </c>
      <c r="R8" s="105">
        <f>+สท.!Q23</f>
        <v>0</v>
      </c>
      <c r="S8" s="127">
        <f t="shared" si="2"/>
        <v>3742700</v>
      </c>
      <c r="T8" s="126">
        <f t="shared" si="2"/>
        <v>7</v>
      </c>
      <c r="U8" s="130">
        <f t="shared" si="2"/>
        <v>0</v>
      </c>
      <c r="V8" s="126">
        <f t="shared" si="2"/>
        <v>0</v>
      </c>
      <c r="W8" s="130">
        <f t="shared" si="4"/>
        <v>3742700</v>
      </c>
      <c r="X8" s="126">
        <f t="shared" si="4"/>
        <v>7</v>
      </c>
      <c r="Y8" s="127">
        <f t="shared" si="3"/>
        <v>0</v>
      </c>
      <c r="Z8" s="155">
        <f t="shared" si="3"/>
        <v>0</v>
      </c>
      <c r="AA8" s="124">
        <f>+S8-สท.!P26</f>
        <v>3742700</v>
      </c>
      <c r="AB8" s="34">
        <f>+Y8*100/S8</f>
        <v>0</v>
      </c>
      <c r="AC8" s="76">
        <f>+S8-สท.!P26</f>
        <v>3742700</v>
      </c>
      <c r="AD8" s="76">
        <f>+Y8-สท.!K26</f>
        <v>0</v>
      </c>
    </row>
    <row r="9" spans="1:30" x14ac:dyDescent="0.55000000000000004">
      <c r="A9" s="104">
        <v>4</v>
      </c>
      <c r="B9" s="103" t="s">
        <v>39</v>
      </c>
      <c r="C9" s="127">
        <f>+สง.ก.ต.ช.!N13</f>
        <v>0</v>
      </c>
      <c r="D9" s="129">
        <f>+สง.ก.ต.ช.!A13</f>
        <v>0</v>
      </c>
      <c r="E9" s="130">
        <f>+สง.ก.ต.ช.!J13</f>
        <v>0</v>
      </c>
      <c r="F9" s="155">
        <f>+สง.ก.ต.ช.!O13</f>
        <v>0</v>
      </c>
      <c r="G9" s="130">
        <f t="shared" ref="G9:G42" si="5">+C9-E9</f>
        <v>0</v>
      </c>
      <c r="H9" s="129">
        <f t="shared" ref="H9:H42" si="6">+D9-F9</f>
        <v>0</v>
      </c>
      <c r="I9" s="130">
        <f>+สง.ก.ต.ช.!K13</f>
        <v>0</v>
      </c>
      <c r="J9" s="129">
        <f>+สง.ก.ต.ช.!P13</f>
        <v>0</v>
      </c>
      <c r="K9" s="127">
        <f>+สง.ก.ต.ช.!N17</f>
        <v>0</v>
      </c>
      <c r="L9" s="130">
        <f>+สง.ก.ต.ช.!A17</f>
        <v>0</v>
      </c>
      <c r="M9" s="127">
        <f>+สง.ก.ต.ช.!J17</f>
        <v>0</v>
      </c>
      <c r="N9" s="130">
        <f>+สง.ก.ต.ช.!O17</f>
        <v>0</v>
      </c>
      <c r="O9" s="130">
        <f t="shared" ref="O9:O42" si="7">+K9-M9</f>
        <v>0</v>
      </c>
      <c r="P9" s="130">
        <f t="shared" ref="P9:P42" si="8">+L9-N9</f>
        <v>0</v>
      </c>
      <c r="Q9" s="127">
        <f>+สง.ก.ต.ช.!K17</f>
        <v>0</v>
      </c>
      <c r="R9" s="105">
        <f>+สง.ก.ต.ช.!P17</f>
        <v>0</v>
      </c>
      <c r="S9" s="127"/>
      <c r="T9" s="126"/>
      <c r="U9" s="130"/>
      <c r="V9" s="126"/>
      <c r="W9" s="130"/>
      <c r="X9" s="126"/>
      <c r="Y9" s="127"/>
      <c r="Z9" s="155"/>
      <c r="AA9" s="124"/>
      <c r="AC9" s="76"/>
      <c r="AD9" s="76"/>
    </row>
    <row r="10" spans="1:30" x14ac:dyDescent="0.55000000000000004">
      <c r="A10" s="104">
        <v>5</v>
      </c>
      <c r="B10" s="103" t="s">
        <v>454</v>
      </c>
      <c r="C10" s="127">
        <f>+บ.ตร.!O22</f>
        <v>842583000</v>
      </c>
      <c r="D10" s="129">
        <f>+บ.ตร.!A22</f>
        <v>10</v>
      </c>
      <c r="E10" s="130">
        <f>+บ.ตร.!J22</f>
        <v>0</v>
      </c>
      <c r="F10" s="155">
        <f>+บ.ตร.!P22</f>
        <v>0</v>
      </c>
      <c r="G10" s="130">
        <f t="shared" si="5"/>
        <v>842583000</v>
      </c>
      <c r="H10" s="129">
        <f t="shared" si="6"/>
        <v>10</v>
      </c>
      <c r="I10" s="130">
        <f>+บ.ตร.!K22</f>
        <v>0</v>
      </c>
      <c r="J10" s="129">
        <f>+บ.ตร.!Q22</f>
        <v>0</v>
      </c>
      <c r="K10" s="127">
        <f>+บ.ตร.!O29</f>
        <v>39254800</v>
      </c>
      <c r="L10" s="155">
        <f>+บ.ตร.!A29</f>
        <v>4</v>
      </c>
      <c r="M10" s="127">
        <f>+บ.ตร.!J29</f>
        <v>0</v>
      </c>
      <c r="N10" s="130">
        <f>+บ.ตร.!P29</f>
        <v>0</v>
      </c>
      <c r="O10" s="130">
        <f t="shared" si="7"/>
        <v>39254800</v>
      </c>
      <c r="P10" s="130">
        <f t="shared" si="8"/>
        <v>4</v>
      </c>
      <c r="Q10" s="127">
        <f>+บ.ตร.!K29</f>
        <v>0</v>
      </c>
      <c r="R10" s="105">
        <f>+บ.ตร.!Q29</f>
        <v>0</v>
      </c>
      <c r="S10" s="127">
        <f t="shared" ref="S10:S19" si="9">+C10+K10</f>
        <v>881837800</v>
      </c>
      <c r="T10" s="126">
        <f t="shared" ref="T10:T19" si="10">+D10+L10</f>
        <v>14</v>
      </c>
      <c r="U10" s="130">
        <f t="shared" ref="U10:U19" si="11">+E10+M10</f>
        <v>0</v>
      </c>
      <c r="V10" s="126">
        <f t="shared" ref="V10:V19" si="12">+F10+N10</f>
        <v>0</v>
      </c>
      <c r="W10" s="130">
        <f t="shared" ref="W10:W19" si="13">+G10+O10</f>
        <v>881837800</v>
      </c>
      <c r="X10" s="126">
        <f t="shared" ref="X10:X19" si="14">+H10+P10</f>
        <v>14</v>
      </c>
      <c r="Y10" s="127">
        <f t="shared" ref="Y10:Y19" si="15">+I10+Q10</f>
        <v>0</v>
      </c>
      <c r="Z10" s="155">
        <f t="shared" ref="Z10:Z19" si="16">+J10+R10</f>
        <v>0</v>
      </c>
      <c r="AA10" s="124">
        <f>+S10-บ.ตร.!P30</f>
        <v>881837800</v>
      </c>
      <c r="AB10" s="34">
        <f t="shared" ref="AB10:AB22" si="17">+Y10*100/S10</f>
        <v>0</v>
      </c>
      <c r="AC10" s="76">
        <f>+S10-บ.ตร.!P33</f>
        <v>881837800</v>
      </c>
      <c r="AD10" s="76">
        <f>+Y10-บ.ตร.!K30</f>
        <v>0</v>
      </c>
    </row>
    <row r="11" spans="1:30" x14ac:dyDescent="0.55000000000000004">
      <c r="A11" s="104">
        <v>6</v>
      </c>
      <c r="B11" s="103" t="s">
        <v>41</v>
      </c>
      <c r="C11" s="127">
        <f>+วน.!O15</f>
        <v>0</v>
      </c>
      <c r="D11" s="129">
        <f>+วน.!A15</f>
        <v>0</v>
      </c>
      <c r="E11" s="130">
        <f>+วน.!J15</f>
        <v>0</v>
      </c>
      <c r="F11" s="155">
        <f>+วน.!P15</f>
        <v>0</v>
      </c>
      <c r="G11" s="130">
        <f t="shared" si="5"/>
        <v>0</v>
      </c>
      <c r="H11" s="129">
        <f t="shared" si="6"/>
        <v>0</v>
      </c>
      <c r="I11" s="130">
        <f>+วน.!K15</f>
        <v>0</v>
      </c>
      <c r="J11" s="129">
        <f>+วน.!Q15</f>
        <v>0</v>
      </c>
      <c r="K11" s="127">
        <f>+วน.!O19</f>
        <v>0</v>
      </c>
      <c r="L11" s="130">
        <f>+วน.!A19</f>
        <v>0</v>
      </c>
      <c r="M11" s="127">
        <f>+วน.!J19</f>
        <v>0</v>
      </c>
      <c r="N11" s="130">
        <f>+วน.!P19</f>
        <v>0</v>
      </c>
      <c r="O11" s="130">
        <f t="shared" si="7"/>
        <v>0</v>
      </c>
      <c r="P11" s="130">
        <f t="shared" si="8"/>
        <v>0</v>
      </c>
      <c r="Q11" s="127">
        <f>+วน.!K19</f>
        <v>0</v>
      </c>
      <c r="R11" s="105">
        <f>+วน.!Q19</f>
        <v>0</v>
      </c>
      <c r="S11" s="127">
        <f t="shared" si="9"/>
        <v>0</v>
      </c>
      <c r="T11" s="126">
        <f t="shared" si="10"/>
        <v>0</v>
      </c>
      <c r="U11" s="130">
        <f t="shared" si="11"/>
        <v>0</v>
      </c>
      <c r="V11" s="126">
        <f t="shared" si="12"/>
        <v>0</v>
      </c>
      <c r="W11" s="130">
        <f t="shared" si="13"/>
        <v>0</v>
      </c>
      <c r="X11" s="126">
        <f t="shared" si="14"/>
        <v>0</v>
      </c>
      <c r="Y11" s="127">
        <f t="shared" si="15"/>
        <v>0</v>
      </c>
      <c r="Z11" s="155">
        <f t="shared" si="16"/>
        <v>0</v>
      </c>
      <c r="AA11" s="124">
        <f>+S11-วน.!P20</f>
        <v>0</v>
      </c>
      <c r="AB11" s="34" t="e">
        <f t="shared" si="17"/>
        <v>#DIV/0!</v>
      </c>
      <c r="AC11" s="76">
        <f>+S11-วน.!P20</f>
        <v>0</v>
      </c>
      <c r="AD11" s="76">
        <f>+Y11-วน.!K20</f>
        <v>0</v>
      </c>
    </row>
    <row r="12" spans="1:30" x14ac:dyDescent="0.55000000000000004">
      <c r="A12" s="104">
        <v>7</v>
      </c>
      <c r="B12" s="103" t="s">
        <v>28</v>
      </c>
      <c r="C12" s="127">
        <f>+สยศ.ตร.!O14</f>
        <v>1025000</v>
      </c>
      <c r="D12" s="129">
        <f>+สยศ.ตร.!A14</f>
        <v>2</v>
      </c>
      <c r="E12" s="130">
        <f>+สยศ.ตร.!J14</f>
        <v>0</v>
      </c>
      <c r="F12" s="155">
        <f>+สยศ.ตร.!P14</f>
        <v>0</v>
      </c>
      <c r="G12" s="130">
        <f t="shared" si="5"/>
        <v>1025000</v>
      </c>
      <c r="H12" s="129">
        <f t="shared" si="6"/>
        <v>2</v>
      </c>
      <c r="I12" s="130">
        <f>+สยศ.ตร.!K14</f>
        <v>0</v>
      </c>
      <c r="J12" s="129">
        <f>+สยศ.ตร.!Q14</f>
        <v>0</v>
      </c>
      <c r="K12" s="127">
        <f>+สยศ.ตร.!O18</f>
        <v>0</v>
      </c>
      <c r="L12" s="130">
        <f>+สยศ.ตร.!A18</f>
        <v>0</v>
      </c>
      <c r="M12" s="127">
        <f>+สยศ.ตร.!J18</f>
        <v>0</v>
      </c>
      <c r="N12" s="130">
        <f>+สยศ.ตร.!P18</f>
        <v>0</v>
      </c>
      <c r="O12" s="130">
        <f t="shared" si="7"/>
        <v>0</v>
      </c>
      <c r="P12" s="130">
        <f t="shared" si="8"/>
        <v>0</v>
      </c>
      <c r="Q12" s="127">
        <f>+สยศ.ตร.!K18</f>
        <v>0</v>
      </c>
      <c r="R12" s="105">
        <f>+สยศ.ตร.!Q18</f>
        <v>0</v>
      </c>
      <c r="S12" s="127">
        <f t="shared" si="9"/>
        <v>1025000</v>
      </c>
      <c r="T12" s="126">
        <f t="shared" si="10"/>
        <v>2</v>
      </c>
      <c r="U12" s="130">
        <f t="shared" si="11"/>
        <v>0</v>
      </c>
      <c r="V12" s="126">
        <f t="shared" si="12"/>
        <v>0</v>
      </c>
      <c r="W12" s="130">
        <f t="shared" si="13"/>
        <v>1025000</v>
      </c>
      <c r="X12" s="126">
        <f t="shared" si="14"/>
        <v>2</v>
      </c>
      <c r="Y12" s="127">
        <f t="shared" si="15"/>
        <v>0</v>
      </c>
      <c r="Z12" s="155">
        <f t="shared" si="16"/>
        <v>0</v>
      </c>
      <c r="AA12" s="124">
        <f>+S12-สยศ.ตร.!P19</f>
        <v>1025000</v>
      </c>
      <c r="AB12" s="34">
        <f t="shared" si="17"/>
        <v>0</v>
      </c>
      <c r="AC12" s="76">
        <f>+S12-สยศ.ตร.!P19</f>
        <v>1025000</v>
      </c>
      <c r="AD12" s="76">
        <f>+Y12-สยศ.ตร.!K19</f>
        <v>0</v>
      </c>
    </row>
    <row r="13" spans="1:30" x14ac:dyDescent="0.55000000000000004">
      <c r="A13" s="104">
        <v>8</v>
      </c>
      <c r="B13" s="181" t="s">
        <v>29</v>
      </c>
      <c r="C13" s="127">
        <f>+สกบ.!P44</f>
        <v>809073900</v>
      </c>
      <c r="D13" s="129">
        <f>+สกบ.!A44</f>
        <v>31</v>
      </c>
      <c r="E13" s="130">
        <f>+สกบ.!J44</f>
        <v>0</v>
      </c>
      <c r="F13" s="155">
        <f>+สกบ.!Q44</f>
        <v>0</v>
      </c>
      <c r="G13" s="130">
        <f t="shared" si="5"/>
        <v>809073900</v>
      </c>
      <c r="H13" s="129">
        <f t="shared" si="6"/>
        <v>31</v>
      </c>
      <c r="I13" s="130">
        <f>+สกบ.!K44</f>
        <v>0</v>
      </c>
      <c r="J13" s="129">
        <f>+สกบ.!R44</f>
        <v>0</v>
      </c>
      <c r="K13" s="127" t="e">
        <f>+สกบ.!#REF!</f>
        <v>#REF!</v>
      </c>
      <c r="L13" s="128">
        <f>+สกบ.!A54</f>
        <v>7</v>
      </c>
      <c r="M13" s="127" t="e">
        <f>+สกบ.!#REF!</f>
        <v>#REF!</v>
      </c>
      <c r="N13" s="128" t="e">
        <f>+สกบ.!#REF!</f>
        <v>#REF!</v>
      </c>
      <c r="O13" s="130" t="e">
        <f t="shared" si="7"/>
        <v>#REF!</v>
      </c>
      <c r="P13" s="130" t="e">
        <f t="shared" si="8"/>
        <v>#REF!</v>
      </c>
      <c r="Q13" s="127" t="e">
        <f>+สกบ.!#REF!</f>
        <v>#REF!</v>
      </c>
      <c r="R13" s="105" t="e">
        <f>+สกบ.!#REF!</f>
        <v>#REF!</v>
      </c>
      <c r="S13" s="127" t="e">
        <f t="shared" si="9"/>
        <v>#REF!</v>
      </c>
      <c r="T13" s="126">
        <f t="shared" si="10"/>
        <v>38</v>
      </c>
      <c r="U13" s="130" t="e">
        <f t="shared" si="11"/>
        <v>#REF!</v>
      </c>
      <c r="V13" s="126" t="e">
        <f t="shared" si="12"/>
        <v>#REF!</v>
      </c>
      <c r="W13" s="130" t="e">
        <f t="shared" si="13"/>
        <v>#REF!</v>
      </c>
      <c r="X13" s="126" t="e">
        <f t="shared" si="14"/>
        <v>#REF!</v>
      </c>
      <c r="Y13" s="127" t="e">
        <f t="shared" si="15"/>
        <v>#REF!</v>
      </c>
      <c r="Z13" s="155" t="e">
        <f t="shared" si="16"/>
        <v>#REF!</v>
      </c>
      <c r="AA13" s="124" t="e">
        <f>+S13-สกบ.!Q102</f>
        <v>#REF!</v>
      </c>
      <c r="AB13" s="226" t="e">
        <f t="shared" si="17"/>
        <v>#REF!</v>
      </c>
      <c r="AC13" s="76" t="e">
        <f>+S13-สกบ.!Q102</f>
        <v>#REF!</v>
      </c>
      <c r="AD13" s="76" t="e">
        <f>+Y13-สกบ.!K102</f>
        <v>#REF!</v>
      </c>
    </row>
    <row r="14" spans="1:30" x14ac:dyDescent="0.55000000000000004">
      <c r="A14" s="104">
        <v>9</v>
      </c>
      <c r="B14" s="103" t="s">
        <v>30</v>
      </c>
      <c r="C14" s="127">
        <f>+สกพ.!O12</f>
        <v>0</v>
      </c>
      <c r="D14" s="129">
        <f>+สกพ.!A12</f>
        <v>0</v>
      </c>
      <c r="E14" s="130" t="e">
        <f>+สกพ.!J12</f>
        <v>#REF!</v>
      </c>
      <c r="F14" s="155">
        <f>+สกพ.!P12</f>
        <v>0</v>
      </c>
      <c r="G14" s="130" t="e">
        <f t="shared" si="5"/>
        <v>#REF!</v>
      </c>
      <c r="H14" s="129">
        <f t="shared" si="6"/>
        <v>0</v>
      </c>
      <c r="I14" s="130" t="e">
        <f>+สกพ.!K12</f>
        <v>#REF!</v>
      </c>
      <c r="J14" s="129">
        <f>+สกพ.!Q12</f>
        <v>0</v>
      </c>
      <c r="K14" s="127">
        <f>+สกพ.!O18</f>
        <v>16258000</v>
      </c>
      <c r="L14" s="128">
        <f>+สกพ.!A18</f>
        <v>3</v>
      </c>
      <c r="M14" s="127">
        <f>+สกพ.!J18</f>
        <v>0</v>
      </c>
      <c r="N14" s="128">
        <f>+สกพ.!P18</f>
        <v>0</v>
      </c>
      <c r="O14" s="130">
        <f t="shared" si="7"/>
        <v>16258000</v>
      </c>
      <c r="P14" s="130">
        <f t="shared" si="8"/>
        <v>3</v>
      </c>
      <c r="Q14" s="127">
        <f>+สกพ.!K18</f>
        <v>0</v>
      </c>
      <c r="R14" s="105">
        <f>+สกพ.!Q18</f>
        <v>0</v>
      </c>
      <c r="S14" s="127">
        <f t="shared" si="9"/>
        <v>16258000</v>
      </c>
      <c r="T14" s="126">
        <f t="shared" si="10"/>
        <v>3</v>
      </c>
      <c r="U14" s="130" t="e">
        <f t="shared" si="11"/>
        <v>#REF!</v>
      </c>
      <c r="V14" s="126">
        <f t="shared" si="12"/>
        <v>0</v>
      </c>
      <c r="W14" s="130" t="e">
        <f t="shared" si="13"/>
        <v>#REF!</v>
      </c>
      <c r="X14" s="126">
        <f t="shared" si="14"/>
        <v>3</v>
      </c>
      <c r="Y14" s="127" t="e">
        <f t="shared" si="15"/>
        <v>#REF!</v>
      </c>
      <c r="Z14" s="155">
        <f t="shared" si="16"/>
        <v>0</v>
      </c>
      <c r="AA14" s="124">
        <f>+S14-สกพ.!P25</f>
        <v>16258000</v>
      </c>
      <c r="AB14" s="34" t="e">
        <f t="shared" si="17"/>
        <v>#REF!</v>
      </c>
      <c r="AC14" s="76">
        <f>+S14-สกพ.!P25</f>
        <v>16258000</v>
      </c>
      <c r="AD14" s="76" t="e">
        <f>+Y14-สกพ.!K25</f>
        <v>#REF!</v>
      </c>
    </row>
    <row r="15" spans="1:30" x14ac:dyDescent="0.55000000000000004">
      <c r="A15" s="104">
        <v>10</v>
      </c>
      <c r="B15" s="103" t="s">
        <v>31</v>
      </c>
      <c r="C15" s="127">
        <f>+สงป.!O13</f>
        <v>0</v>
      </c>
      <c r="D15" s="129">
        <f>+สงป.!A13</f>
        <v>0</v>
      </c>
      <c r="E15" s="130">
        <f>+สงป.!J13</f>
        <v>0</v>
      </c>
      <c r="F15" s="155">
        <f>+สงป.!P13</f>
        <v>0</v>
      </c>
      <c r="G15" s="130">
        <f t="shared" si="5"/>
        <v>0</v>
      </c>
      <c r="H15" s="129">
        <f t="shared" si="6"/>
        <v>0</v>
      </c>
      <c r="I15" s="130">
        <f>+สงป.!K13</f>
        <v>0</v>
      </c>
      <c r="J15" s="130">
        <f>+สงป.!Q13</f>
        <v>0</v>
      </c>
      <c r="K15" s="127">
        <f>+สงป.!O17</f>
        <v>0</v>
      </c>
      <c r="L15" s="155">
        <f>+สงป.!A17</f>
        <v>0</v>
      </c>
      <c r="M15" s="127">
        <f>+สงป.!J17</f>
        <v>0</v>
      </c>
      <c r="N15" s="130">
        <f>+สงป.!P17</f>
        <v>0</v>
      </c>
      <c r="O15" s="130">
        <f t="shared" si="7"/>
        <v>0</v>
      </c>
      <c r="P15" s="130">
        <f t="shared" si="8"/>
        <v>0</v>
      </c>
      <c r="Q15" s="127">
        <f>+สงป.!K17</f>
        <v>0</v>
      </c>
      <c r="R15" s="105">
        <f>+สงป.!Q17</f>
        <v>0</v>
      </c>
      <c r="S15" s="127">
        <f t="shared" si="9"/>
        <v>0</v>
      </c>
      <c r="T15" s="126">
        <f t="shared" si="10"/>
        <v>0</v>
      </c>
      <c r="U15" s="130">
        <f t="shared" si="11"/>
        <v>0</v>
      </c>
      <c r="V15" s="126">
        <f t="shared" si="12"/>
        <v>0</v>
      </c>
      <c r="W15" s="130">
        <f t="shared" si="13"/>
        <v>0</v>
      </c>
      <c r="X15" s="126">
        <f t="shared" si="14"/>
        <v>0</v>
      </c>
      <c r="Y15" s="127">
        <f t="shared" si="15"/>
        <v>0</v>
      </c>
      <c r="Z15" s="155">
        <f t="shared" si="16"/>
        <v>0</v>
      </c>
      <c r="AA15" s="124">
        <f>+S15-สงป.!P18</f>
        <v>0</v>
      </c>
      <c r="AB15" s="34" t="e">
        <f t="shared" si="17"/>
        <v>#DIV/0!</v>
      </c>
      <c r="AC15" s="76">
        <f>+S15-สงป.!P18</f>
        <v>0</v>
      </c>
      <c r="AD15" s="76">
        <f>+Y15-สงป.!K18</f>
        <v>0</v>
      </c>
    </row>
    <row r="16" spans="1:30" x14ac:dyDescent="0.55000000000000004">
      <c r="A16" s="104">
        <v>11</v>
      </c>
      <c r="B16" s="103" t="s">
        <v>32</v>
      </c>
      <c r="C16" s="127">
        <f>+กมค.!O19</f>
        <v>1381800</v>
      </c>
      <c r="D16" s="130">
        <f>+กมค.!A19</f>
        <v>7</v>
      </c>
      <c r="E16" s="130">
        <f>+กมค.!J19</f>
        <v>0</v>
      </c>
      <c r="F16" s="155">
        <f>+กมค.!P19</f>
        <v>0</v>
      </c>
      <c r="G16" s="130">
        <f t="shared" si="5"/>
        <v>1381800</v>
      </c>
      <c r="H16" s="129">
        <f t="shared" si="6"/>
        <v>7</v>
      </c>
      <c r="I16" s="130">
        <f>+กมค.!K19</f>
        <v>0</v>
      </c>
      <c r="J16" s="130">
        <f>+กมค.!Q19</f>
        <v>0</v>
      </c>
      <c r="K16" s="127">
        <f>+กมค.!O24</f>
        <v>7010000</v>
      </c>
      <c r="L16" s="128">
        <f>+กมค.!A24</f>
        <v>2</v>
      </c>
      <c r="M16" s="127">
        <f>+กมค.!J24</f>
        <v>0</v>
      </c>
      <c r="N16" s="128">
        <f>+กมค.!P24</f>
        <v>0</v>
      </c>
      <c r="O16" s="130">
        <f t="shared" si="7"/>
        <v>7010000</v>
      </c>
      <c r="P16" s="130">
        <f t="shared" si="8"/>
        <v>2</v>
      </c>
      <c r="Q16" s="127">
        <f>+กมค.!K24</f>
        <v>0</v>
      </c>
      <c r="R16" s="105">
        <f>+กมค.!Q24</f>
        <v>0</v>
      </c>
      <c r="S16" s="127">
        <f t="shared" si="9"/>
        <v>8391800</v>
      </c>
      <c r="T16" s="126">
        <f t="shared" si="10"/>
        <v>9</v>
      </c>
      <c r="U16" s="130">
        <f t="shared" si="11"/>
        <v>0</v>
      </c>
      <c r="V16" s="126">
        <f t="shared" si="12"/>
        <v>0</v>
      </c>
      <c r="W16" s="130">
        <f t="shared" si="13"/>
        <v>8391800</v>
      </c>
      <c r="X16" s="126">
        <f t="shared" si="14"/>
        <v>9</v>
      </c>
      <c r="Y16" s="127">
        <f t="shared" si="15"/>
        <v>0</v>
      </c>
      <c r="Z16" s="155">
        <f t="shared" si="16"/>
        <v>0</v>
      </c>
      <c r="AA16" s="124">
        <f>+S16-กมค.!P27</f>
        <v>8391800</v>
      </c>
      <c r="AB16" s="34">
        <f t="shared" si="17"/>
        <v>0</v>
      </c>
      <c r="AC16" s="76">
        <f>+S16-กมค.!P27</f>
        <v>8391800</v>
      </c>
      <c r="AD16" s="76">
        <f>+Y16-กมค.!K27</f>
        <v>0</v>
      </c>
    </row>
    <row r="17" spans="1:30" x14ac:dyDescent="0.55000000000000004">
      <c r="A17" s="104">
        <v>12</v>
      </c>
      <c r="B17" s="103" t="s">
        <v>33</v>
      </c>
      <c r="C17" s="127">
        <f>+สง.ก.ตร.!O16</f>
        <v>0</v>
      </c>
      <c r="D17" s="129">
        <f>+สง.ก.ตร.!A16</f>
        <v>0</v>
      </c>
      <c r="E17" s="130">
        <f>+สง.ก.ตร.!J16</f>
        <v>0</v>
      </c>
      <c r="F17" s="155">
        <f>+สง.ก.ตร.!P16</f>
        <v>0</v>
      </c>
      <c r="G17" s="130">
        <f t="shared" si="5"/>
        <v>0</v>
      </c>
      <c r="H17" s="129">
        <f t="shared" si="6"/>
        <v>0</v>
      </c>
      <c r="I17" s="130">
        <f>+สง.ก.ตร.!K16</f>
        <v>0</v>
      </c>
      <c r="J17" s="129">
        <f>+สง.ก.ตร.!Q16</f>
        <v>0</v>
      </c>
      <c r="K17" s="127">
        <f>+สง.ก.ตร.!O20</f>
        <v>0</v>
      </c>
      <c r="L17" s="130">
        <f>+สง.ก.ตร.!A20</f>
        <v>0</v>
      </c>
      <c r="M17" s="127">
        <f>+สง.ก.ตร.!J20</f>
        <v>0</v>
      </c>
      <c r="N17" s="130">
        <f>+สง.ก.ตร.!P20</f>
        <v>0</v>
      </c>
      <c r="O17" s="130">
        <f t="shared" si="7"/>
        <v>0</v>
      </c>
      <c r="P17" s="130">
        <f t="shared" si="8"/>
        <v>0</v>
      </c>
      <c r="Q17" s="127">
        <f>+สง.ก.ตร.!K20</f>
        <v>0</v>
      </c>
      <c r="R17" s="105">
        <f>+สง.ก.ตร.!Q20</f>
        <v>0</v>
      </c>
      <c r="S17" s="127">
        <f t="shared" si="9"/>
        <v>0</v>
      </c>
      <c r="T17" s="126">
        <f t="shared" si="10"/>
        <v>0</v>
      </c>
      <c r="U17" s="130">
        <f t="shared" si="11"/>
        <v>0</v>
      </c>
      <c r="V17" s="126">
        <f t="shared" si="12"/>
        <v>0</v>
      </c>
      <c r="W17" s="130">
        <f t="shared" si="13"/>
        <v>0</v>
      </c>
      <c r="X17" s="126">
        <f t="shared" si="14"/>
        <v>0</v>
      </c>
      <c r="Y17" s="127">
        <f t="shared" si="15"/>
        <v>0</v>
      </c>
      <c r="Z17" s="155">
        <f t="shared" si="16"/>
        <v>0</v>
      </c>
      <c r="AA17" s="124">
        <f>+S17-สง.ก.ตร.!P22</f>
        <v>0</v>
      </c>
      <c r="AB17" s="34" t="e">
        <f t="shared" si="17"/>
        <v>#DIV/0!</v>
      </c>
      <c r="AC17" s="76">
        <f>+S17-สง.ก.ตร.!P22</f>
        <v>0</v>
      </c>
      <c r="AD17" s="76">
        <f>+Y17-สง.ก.ตร.!K22</f>
        <v>0</v>
      </c>
    </row>
    <row r="18" spans="1:30" x14ac:dyDescent="0.55000000000000004">
      <c r="A18" s="104">
        <v>13</v>
      </c>
      <c r="B18" s="103" t="s">
        <v>34</v>
      </c>
      <c r="C18" s="127">
        <f>+จต.!O13</f>
        <v>64000</v>
      </c>
      <c r="D18" s="130">
        <f>+จต.!A13</f>
        <v>1</v>
      </c>
      <c r="E18" s="130">
        <f>+จต.!J13</f>
        <v>0</v>
      </c>
      <c r="F18" s="155">
        <f>+จต.!P13</f>
        <v>0</v>
      </c>
      <c r="G18" s="130">
        <f t="shared" si="5"/>
        <v>64000</v>
      </c>
      <c r="H18" s="129">
        <f t="shared" si="6"/>
        <v>1</v>
      </c>
      <c r="I18" s="130">
        <f>+จต.!K13</f>
        <v>0</v>
      </c>
      <c r="J18" s="130">
        <f>+จต.!Q13</f>
        <v>0</v>
      </c>
      <c r="K18" s="127">
        <f>+จต.!O17</f>
        <v>0</v>
      </c>
      <c r="L18" s="128">
        <f>+จต.!A17</f>
        <v>0</v>
      </c>
      <c r="M18" s="127">
        <f>+จต.!J17</f>
        <v>0</v>
      </c>
      <c r="N18" s="128">
        <f>+จต.!P17</f>
        <v>0</v>
      </c>
      <c r="O18" s="130">
        <f t="shared" si="7"/>
        <v>0</v>
      </c>
      <c r="P18" s="130">
        <f t="shared" si="8"/>
        <v>0</v>
      </c>
      <c r="Q18" s="127">
        <f>+จต.!K17</f>
        <v>0</v>
      </c>
      <c r="R18" s="105">
        <f>+จต.!Q17</f>
        <v>0</v>
      </c>
      <c r="S18" s="127">
        <f t="shared" si="9"/>
        <v>64000</v>
      </c>
      <c r="T18" s="126">
        <f t="shared" si="10"/>
        <v>1</v>
      </c>
      <c r="U18" s="130">
        <f t="shared" si="11"/>
        <v>0</v>
      </c>
      <c r="V18" s="126">
        <f t="shared" si="12"/>
        <v>0</v>
      </c>
      <c r="W18" s="130">
        <f t="shared" si="13"/>
        <v>64000</v>
      </c>
      <c r="X18" s="126">
        <f t="shared" si="14"/>
        <v>1</v>
      </c>
      <c r="Y18" s="127">
        <f t="shared" si="15"/>
        <v>0</v>
      </c>
      <c r="Z18" s="155">
        <f t="shared" si="16"/>
        <v>0</v>
      </c>
      <c r="AA18" s="124">
        <f>+S18-จต.!P18</f>
        <v>64000</v>
      </c>
      <c r="AB18" s="34">
        <f t="shared" si="17"/>
        <v>0</v>
      </c>
      <c r="AC18" s="76">
        <f>+S18-จต.!P18</f>
        <v>64000</v>
      </c>
      <c r="AD18" s="76">
        <f>+Y18-จต.!K18</f>
        <v>0</v>
      </c>
    </row>
    <row r="19" spans="1:30" x14ac:dyDescent="0.55000000000000004">
      <c r="A19" s="104">
        <v>14</v>
      </c>
      <c r="B19" s="103" t="s">
        <v>35</v>
      </c>
      <c r="C19" s="127">
        <f>+สตส.!N13</f>
        <v>0</v>
      </c>
      <c r="D19" s="129">
        <f>+สตส.!A13</f>
        <v>0</v>
      </c>
      <c r="E19" s="130">
        <f>+สตส.!J13</f>
        <v>0</v>
      </c>
      <c r="F19" s="155">
        <f>+สตส.!O13</f>
        <v>0</v>
      </c>
      <c r="G19" s="130">
        <f t="shared" si="5"/>
        <v>0</v>
      </c>
      <c r="H19" s="129">
        <f t="shared" si="6"/>
        <v>0</v>
      </c>
      <c r="I19" s="130">
        <f>+สตส.!K13</f>
        <v>0</v>
      </c>
      <c r="J19" s="129">
        <f>+สตส.!P13</f>
        <v>0</v>
      </c>
      <c r="K19" s="127">
        <f>+สตส.!N17</f>
        <v>0</v>
      </c>
      <c r="L19" s="130">
        <f>+สตส.!A17</f>
        <v>0</v>
      </c>
      <c r="M19" s="127">
        <f>+สตส.!J17</f>
        <v>0</v>
      </c>
      <c r="N19" s="130">
        <f>+สตส.!O17</f>
        <v>0</v>
      </c>
      <c r="O19" s="130">
        <f t="shared" si="7"/>
        <v>0</v>
      </c>
      <c r="P19" s="130">
        <f t="shared" si="8"/>
        <v>0</v>
      </c>
      <c r="Q19" s="127">
        <f>+สตส.!K17</f>
        <v>0</v>
      </c>
      <c r="R19" s="105">
        <f>+สตส.!P17</f>
        <v>0</v>
      </c>
      <c r="S19" s="127">
        <f t="shared" si="9"/>
        <v>0</v>
      </c>
      <c r="T19" s="126">
        <f t="shared" si="10"/>
        <v>0</v>
      </c>
      <c r="U19" s="130">
        <f t="shared" si="11"/>
        <v>0</v>
      </c>
      <c r="V19" s="126">
        <f t="shared" si="12"/>
        <v>0</v>
      </c>
      <c r="W19" s="130">
        <f t="shared" si="13"/>
        <v>0</v>
      </c>
      <c r="X19" s="126">
        <f t="shared" si="14"/>
        <v>0</v>
      </c>
      <c r="Y19" s="127">
        <f t="shared" si="15"/>
        <v>0</v>
      </c>
      <c r="Z19" s="155">
        <f t="shared" si="16"/>
        <v>0</v>
      </c>
      <c r="AA19" s="124">
        <f>+S19-สตส.!O18</f>
        <v>0</v>
      </c>
      <c r="AB19" s="34" t="e">
        <f t="shared" si="17"/>
        <v>#DIV/0!</v>
      </c>
      <c r="AC19" s="76">
        <f>+S19-สตส.!O18</f>
        <v>0</v>
      </c>
      <c r="AD19" s="76">
        <f>+Y19-สตส.!K18</f>
        <v>0</v>
      </c>
    </row>
    <row r="20" spans="1:30" x14ac:dyDescent="0.55000000000000004">
      <c r="A20" s="104">
        <v>15</v>
      </c>
      <c r="B20" s="103" t="s">
        <v>6</v>
      </c>
      <c r="C20" s="127">
        <f>+บช.น.!O27</f>
        <v>14085900</v>
      </c>
      <c r="D20" s="129">
        <f>+บช.น.!A27</f>
        <v>15</v>
      </c>
      <c r="E20" s="130">
        <f>+บช.น.!J27</f>
        <v>0</v>
      </c>
      <c r="F20" s="155">
        <f>+บช.น.!P27</f>
        <v>0</v>
      </c>
      <c r="G20" s="130">
        <f t="shared" si="5"/>
        <v>14085900</v>
      </c>
      <c r="H20" s="129">
        <f t="shared" si="6"/>
        <v>15</v>
      </c>
      <c r="I20" s="130">
        <f>+บช.น.!K27</f>
        <v>0</v>
      </c>
      <c r="J20" s="129">
        <f>+บช.น.!Q27</f>
        <v>0</v>
      </c>
      <c r="K20" s="127">
        <f>+บช.น.!O31</f>
        <v>50000</v>
      </c>
      <c r="L20" s="128">
        <f>+บช.น.!A31</f>
        <v>1</v>
      </c>
      <c r="M20" s="127">
        <f>+บช.น.!J31</f>
        <v>0</v>
      </c>
      <c r="N20" s="128">
        <f>+บช.น.!P31</f>
        <v>0</v>
      </c>
      <c r="O20" s="130">
        <f t="shared" si="7"/>
        <v>50000</v>
      </c>
      <c r="P20" s="130">
        <f t="shared" si="8"/>
        <v>1</v>
      </c>
      <c r="Q20" s="127">
        <f>+บช.น.!K31</f>
        <v>0</v>
      </c>
      <c r="R20" s="105">
        <f>+บช.น.!Q31</f>
        <v>0</v>
      </c>
      <c r="S20" s="127">
        <f>+C20+K20</f>
        <v>14135900</v>
      </c>
      <c r="T20" s="126">
        <f>+D20+L20</f>
        <v>16</v>
      </c>
      <c r="U20" s="130">
        <f t="shared" ref="U20:U42" si="18">+E20+M20</f>
        <v>0</v>
      </c>
      <c r="V20" s="126">
        <f t="shared" ref="V20:V42" si="19">+F20+N20</f>
        <v>0</v>
      </c>
      <c r="W20" s="130">
        <f>+G20+O20</f>
        <v>14135900</v>
      </c>
      <c r="X20" s="126">
        <f>+H20+P20</f>
        <v>16</v>
      </c>
      <c r="Y20" s="127">
        <f>+I20+Q20</f>
        <v>0</v>
      </c>
      <c r="Z20" s="155">
        <f t="shared" ref="Z20:Z42" si="20">+J20+R20</f>
        <v>0</v>
      </c>
      <c r="AB20" s="34">
        <f t="shared" si="17"/>
        <v>0</v>
      </c>
      <c r="AC20" s="76">
        <f>+S20-บช.น.!P42</f>
        <v>14135900</v>
      </c>
      <c r="AD20" s="76">
        <f>+Y20-บช.น.!K42</f>
        <v>0</v>
      </c>
    </row>
    <row r="21" spans="1:30" x14ac:dyDescent="0.55000000000000004">
      <c r="A21" s="104">
        <v>16</v>
      </c>
      <c r="B21" s="103" t="s">
        <v>7</v>
      </c>
      <c r="C21" s="127">
        <f>+ภ.1!O18</f>
        <v>3235100</v>
      </c>
      <c r="D21" s="129">
        <f>+ภ.1!A18</f>
        <v>6</v>
      </c>
      <c r="E21" s="130">
        <f>+ภ.1!J18</f>
        <v>0</v>
      </c>
      <c r="F21" s="155">
        <f>+ภ.1!P18</f>
        <v>0</v>
      </c>
      <c r="G21" s="130">
        <f t="shared" si="5"/>
        <v>3235100</v>
      </c>
      <c r="H21" s="129">
        <f t="shared" si="6"/>
        <v>6</v>
      </c>
      <c r="I21" s="130">
        <f>+ภ.1!K18</f>
        <v>0</v>
      </c>
      <c r="J21" s="129">
        <f>+ภ.1!Q18</f>
        <v>0</v>
      </c>
      <c r="K21" s="127">
        <f>+ภ.1!O22</f>
        <v>450000</v>
      </c>
      <c r="L21" s="128">
        <f>+ภ.1!A22</f>
        <v>1</v>
      </c>
      <c r="M21" s="127">
        <f>+ภ.1!J22</f>
        <v>0</v>
      </c>
      <c r="N21" s="128">
        <f>+ภ.1!P22</f>
        <v>0</v>
      </c>
      <c r="O21" s="130">
        <f t="shared" si="7"/>
        <v>450000</v>
      </c>
      <c r="P21" s="130">
        <f t="shared" si="8"/>
        <v>1</v>
      </c>
      <c r="Q21" s="127">
        <f>+ภ.1!K22</f>
        <v>0</v>
      </c>
      <c r="R21" s="105">
        <f>+ภ.1!Q22</f>
        <v>0</v>
      </c>
      <c r="S21" s="127">
        <f t="shared" ref="S21:S42" si="21">+C21+K21</f>
        <v>3685100</v>
      </c>
      <c r="T21" s="126">
        <f t="shared" ref="T21:T42" si="22">+D21+L21</f>
        <v>7</v>
      </c>
      <c r="U21" s="130">
        <f t="shared" si="18"/>
        <v>0</v>
      </c>
      <c r="V21" s="126">
        <f t="shared" si="19"/>
        <v>0</v>
      </c>
      <c r="W21" s="130">
        <f>+G21+O21</f>
        <v>3685100</v>
      </c>
      <c r="X21" s="126">
        <f>+H21+P21</f>
        <v>7</v>
      </c>
      <c r="Y21" s="127">
        <f t="shared" ref="Y21:Y42" si="23">+I21+Q21</f>
        <v>0</v>
      </c>
      <c r="Z21" s="155">
        <f t="shared" si="20"/>
        <v>0</v>
      </c>
      <c r="AB21" s="34">
        <f t="shared" si="17"/>
        <v>0</v>
      </c>
      <c r="AC21" s="76">
        <f>+S21-ภ.1!P39</f>
        <v>3685100</v>
      </c>
      <c r="AD21" s="76">
        <f>+Y21-ภ.1!K39</f>
        <v>0</v>
      </c>
    </row>
    <row r="22" spans="1:30" x14ac:dyDescent="0.55000000000000004">
      <c r="A22" s="104">
        <v>17</v>
      </c>
      <c r="B22" s="181" t="s">
        <v>8</v>
      </c>
      <c r="C22" s="127">
        <f>+ภ.2!O23</f>
        <v>3636400</v>
      </c>
      <c r="D22" s="129">
        <f>+ภ.2!A23</f>
        <v>8</v>
      </c>
      <c r="E22" s="130">
        <f>+ภ.2!J23</f>
        <v>0</v>
      </c>
      <c r="F22" s="155">
        <f>+ภ.2!P23</f>
        <v>0</v>
      </c>
      <c r="G22" s="130">
        <f t="shared" si="5"/>
        <v>3636400</v>
      </c>
      <c r="H22" s="129">
        <f t="shared" si="6"/>
        <v>8</v>
      </c>
      <c r="I22" s="130">
        <f>+ภ.2!K23</f>
        <v>0</v>
      </c>
      <c r="J22" s="129">
        <f>+ภ.2!Q23</f>
        <v>0</v>
      </c>
      <c r="K22" s="127">
        <f>+ภ.2!O29</f>
        <v>10509000</v>
      </c>
      <c r="L22" s="128">
        <f>+ภ.2!A29</f>
        <v>3</v>
      </c>
      <c r="M22" s="127">
        <f>+ภ.2!J29</f>
        <v>0</v>
      </c>
      <c r="N22" s="128">
        <f>+ภ.2!P29</f>
        <v>0</v>
      </c>
      <c r="O22" s="130">
        <f t="shared" si="7"/>
        <v>10509000</v>
      </c>
      <c r="P22" s="130">
        <f t="shared" si="8"/>
        <v>3</v>
      </c>
      <c r="Q22" s="127">
        <f>+ภ.2!K29</f>
        <v>0</v>
      </c>
      <c r="R22" s="105">
        <f>+ภ.2!Q29</f>
        <v>0</v>
      </c>
      <c r="S22" s="127">
        <f t="shared" si="21"/>
        <v>14145400</v>
      </c>
      <c r="T22" s="126">
        <f t="shared" si="22"/>
        <v>11</v>
      </c>
      <c r="U22" s="130">
        <f t="shared" si="18"/>
        <v>0</v>
      </c>
      <c r="V22" s="126">
        <f t="shared" si="19"/>
        <v>0</v>
      </c>
      <c r="W22" s="130">
        <f>+G22+O22</f>
        <v>14145400</v>
      </c>
      <c r="X22" s="126">
        <f>+H22+P22</f>
        <v>11</v>
      </c>
      <c r="Y22" s="127">
        <f t="shared" si="23"/>
        <v>0</v>
      </c>
      <c r="Z22" s="155">
        <f t="shared" si="20"/>
        <v>0</v>
      </c>
      <c r="AA22" s="124">
        <f>+S22-ภ.2!U43</f>
        <v>14145400</v>
      </c>
      <c r="AB22" s="34">
        <f t="shared" si="17"/>
        <v>0</v>
      </c>
      <c r="AC22" s="76">
        <f>+S22-ภ.2!U43</f>
        <v>14145400</v>
      </c>
      <c r="AD22" s="76">
        <f>+Y22-ภ.2!K43</f>
        <v>0</v>
      </c>
    </row>
    <row r="23" spans="1:30" x14ac:dyDescent="0.55000000000000004">
      <c r="A23" s="104">
        <v>18</v>
      </c>
      <c r="B23" s="103" t="s">
        <v>9</v>
      </c>
      <c r="C23" s="127">
        <f>+ภ.3!O15</f>
        <v>391200</v>
      </c>
      <c r="D23" s="129">
        <f>+ภ.3!A15</f>
        <v>3</v>
      </c>
      <c r="E23" s="130">
        <f>+ภ.3!J15</f>
        <v>0</v>
      </c>
      <c r="F23" s="155">
        <f>+ภ.3!P15</f>
        <v>0</v>
      </c>
      <c r="G23" s="130">
        <f t="shared" si="5"/>
        <v>391200</v>
      </c>
      <c r="H23" s="129">
        <f t="shared" si="6"/>
        <v>3</v>
      </c>
      <c r="I23" s="130">
        <f>+ภ.3!K15</f>
        <v>0</v>
      </c>
      <c r="J23" s="129">
        <f>+ภ.3!Q15</f>
        <v>0</v>
      </c>
      <c r="K23" s="127">
        <f>+ภ.3!O21</f>
        <v>14118100</v>
      </c>
      <c r="L23" s="128">
        <f>+ภ.3!A21</f>
        <v>3</v>
      </c>
      <c r="M23" s="127">
        <f>+ภ.3!J21</f>
        <v>0</v>
      </c>
      <c r="N23" s="128">
        <f>+ภ.3!P21</f>
        <v>0</v>
      </c>
      <c r="O23" s="130">
        <f t="shared" si="7"/>
        <v>14118100</v>
      </c>
      <c r="P23" s="130">
        <f t="shared" si="8"/>
        <v>3</v>
      </c>
      <c r="Q23" s="127">
        <f>+ภ.3!K21</f>
        <v>0</v>
      </c>
      <c r="R23" s="105">
        <f>+ภ.3!Q21</f>
        <v>0</v>
      </c>
      <c r="S23" s="127">
        <f t="shared" si="21"/>
        <v>14509300</v>
      </c>
      <c r="T23" s="126">
        <f t="shared" si="22"/>
        <v>6</v>
      </c>
      <c r="U23" s="130">
        <f t="shared" si="18"/>
        <v>0</v>
      </c>
      <c r="V23" s="126">
        <f t="shared" si="19"/>
        <v>0</v>
      </c>
      <c r="W23" s="130">
        <f t="shared" ref="W23:W42" si="24">+G23+O23</f>
        <v>14509300</v>
      </c>
      <c r="X23" s="126">
        <f t="shared" ref="X23:X42" si="25">+H23+P23</f>
        <v>6</v>
      </c>
      <c r="Y23" s="127">
        <f t="shared" si="23"/>
        <v>0</v>
      </c>
      <c r="Z23" s="155">
        <f t="shared" si="20"/>
        <v>0</v>
      </c>
      <c r="AA23" s="124">
        <f>+S23-ภ.3!P34</f>
        <v>14509300</v>
      </c>
      <c r="AB23" s="34">
        <f t="shared" ref="AB23:AB44" si="26">+Y23*100/S23</f>
        <v>0</v>
      </c>
      <c r="AC23" s="76">
        <f>+S23-ภ.3!P34</f>
        <v>14509300</v>
      </c>
      <c r="AD23" s="76">
        <f>+Y23-ภ.3!K34</f>
        <v>0</v>
      </c>
    </row>
    <row r="24" spans="1:30" x14ac:dyDescent="0.55000000000000004">
      <c r="A24" s="104">
        <v>19</v>
      </c>
      <c r="B24" s="103" t="s">
        <v>10</v>
      </c>
      <c r="C24" s="127">
        <f>+ภ.4!O21</f>
        <v>6214300</v>
      </c>
      <c r="D24" s="129">
        <f>+ภ.4!A21</f>
        <v>9</v>
      </c>
      <c r="E24" s="130">
        <f>+ภ.4!J21</f>
        <v>0</v>
      </c>
      <c r="F24" s="155">
        <f>+ภ.4!P21</f>
        <v>0</v>
      </c>
      <c r="G24" s="130">
        <f t="shared" si="5"/>
        <v>6214300</v>
      </c>
      <c r="H24" s="129">
        <f t="shared" si="6"/>
        <v>9</v>
      </c>
      <c r="I24" s="130">
        <f>+ภ.4!K21</f>
        <v>0</v>
      </c>
      <c r="J24" s="129">
        <f>+ภ.4!Q21</f>
        <v>0</v>
      </c>
      <c r="K24" s="127">
        <f>+ภ.4!O25</f>
        <v>600000</v>
      </c>
      <c r="L24" s="128">
        <f>+ภ.4!A25</f>
        <v>1</v>
      </c>
      <c r="M24" s="127" t="str">
        <f>+ภ.4!J25</f>
        <v>29 พ.ค.57 แต่งตั้งคณะกรรมการสอบราคา</v>
      </c>
      <c r="N24" s="128">
        <f>+ภ.4!P25</f>
        <v>0</v>
      </c>
      <c r="O24" s="130" t="e">
        <f t="shared" si="7"/>
        <v>#VALUE!</v>
      </c>
      <c r="P24" s="130">
        <f t="shared" si="8"/>
        <v>1</v>
      </c>
      <c r="Q24" s="127">
        <f>+ภ.4!K25</f>
        <v>0</v>
      </c>
      <c r="R24" s="105">
        <f>+ภ.4!Q25</f>
        <v>0</v>
      </c>
      <c r="S24" s="127">
        <f t="shared" si="21"/>
        <v>6814300</v>
      </c>
      <c r="T24" s="126">
        <f t="shared" si="22"/>
        <v>10</v>
      </c>
      <c r="U24" s="130" t="e">
        <f t="shared" si="18"/>
        <v>#VALUE!</v>
      </c>
      <c r="V24" s="126">
        <f t="shared" si="19"/>
        <v>0</v>
      </c>
      <c r="W24" s="130" t="e">
        <f t="shared" si="24"/>
        <v>#VALUE!</v>
      </c>
      <c r="X24" s="126">
        <f t="shared" si="25"/>
        <v>10</v>
      </c>
      <c r="Y24" s="127">
        <f t="shared" si="23"/>
        <v>0</v>
      </c>
      <c r="Z24" s="155">
        <f t="shared" si="20"/>
        <v>0</v>
      </c>
      <c r="AA24" s="124">
        <f>+S24-ภ.4!T45</f>
        <v>6814300</v>
      </c>
      <c r="AB24" s="34">
        <f t="shared" si="26"/>
        <v>0</v>
      </c>
      <c r="AC24" s="76">
        <f>+S24-ภ.4!T45</f>
        <v>6814300</v>
      </c>
      <c r="AD24" s="76">
        <f>+Y24-ภ.4!K45</f>
        <v>0</v>
      </c>
    </row>
    <row r="25" spans="1:30" x14ac:dyDescent="0.55000000000000004">
      <c r="A25" s="104">
        <v>20</v>
      </c>
      <c r="B25" s="103" t="s">
        <v>11</v>
      </c>
      <c r="C25" s="127">
        <f>+ภ.5!O28</f>
        <v>28994100</v>
      </c>
      <c r="D25" s="129">
        <f>+ภ.5!A28</f>
        <v>16</v>
      </c>
      <c r="E25" s="130">
        <f>+ภ.5!J28</f>
        <v>0</v>
      </c>
      <c r="F25" s="155">
        <f>+ภ.5!P28</f>
        <v>0</v>
      </c>
      <c r="G25" s="130">
        <f t="shared" si="5"/>
        <v>28994100</v>
      </c>
      <c r="H25" s="129">
        <f t="shared" si="6"/>
        <v>16</v>
      </c>
      <c r="I25" s="130">
        <f>+ภ.5!K28</f>
        <v>0</v>
      </c>
      <c r="J25" s="129">
        <f>+ภ.5!Q28</f>
        <v>0</v>
      </c>
      <c r="K25" s="127">
        <f>+ภ.5!O36</f>
        <v>129448200</v>
      </c>
      <c r="L25" s="128">
        <f>+ภ.5!A36</f>
        <v>5</v>
      </c>
      <c r="M25" s="127">
        <f>+ภ.5!J36</f>
        <v>0</v>
      </c>
      <c r="N25" s="128">
        <f>+ภ.5!P36</f>
        <v>0</v>
      </c>
      <c r="O25" s="130">
        <f t="shared" si="7"/>
        <v>129448200</v>
      </c>
      <c r="P25" s="130">
        <f t="shared" si="8"/>
        <v>5</v>
      </c>
      <c r="Q25" s="127">
        <f>+ภ.5!K36</f>
        <v>0</v>
      </c>
      <c r="R25" s="105">
        <f>+ภ.5!Q36</f>
        <v>0</v>
      </c>
      <c r="S25" s="127">
        <f t="shared" si="21"/>
        <v>158442300</v>
      </c>
      <c r="T25" s="126">
        <f t="shared" si="22"/>
        <v>21</v>
      </c>
      <c r="U25" s="130">
        <f t="shared" si="18"/>
        <v>0</v>
      </c>
      <c r="V25" s="126">
        <f t="shared" si="19"/>
        <v>0</v>
      </c>
      <c r="W25" s="130">
        <f t="shared" si="24"/>
        <v>158442300</v>
      </c>
      <c r="X25" s="126">
        <f t="shared" si="25"/>
        <v>21</v>
      </c>
      <c r="Y25" s="127">
        <f t="shared" si="23"/>
        <v>0</v>
      </c>
      <c r="Z25" s="155">
        <f t="shared" si="20"/>
        <v>0</v>
      </c>
      <c r="AA25" s="124">
        <f>+S25-ภ.5!T56</f>
        <v>158442300</v>
      </c>
      <c r="AB25" s="34">
        <f t="shared" si="26"/>
        <v>0</v>
      </c>
      <c r="AC25" s="76">
        <f>+S25-ภ.5!T56</f>
        <v>158442300</v>
      </c>
      <c r="AD25" s="76">
        <f>+Y25-ภ.5!K56</f>
        <v>0</v>
      </c>
    </row>
    <row r="26" spans="1:30" x14ac:dyDescent="0.55000000000000004">
      <c r="A26" s="104">
        <v>21</v>
      </c>
      <c r="B26" s="103" t="s">
        <v>12</v>
      </c>
      <c r="C26" s="127">
        <f>+ภ.6!O17</f>
        <v>13604100</v>
      </c>
      <c r="D26" s="129">
        <f>+ภ.6!A17</f>
        <v>5</v>
      </c>
      <c r="E26" s="130">
        <f>+ภ.6!J17</f>
        <v>0</v>
      </c>
      <c r="F26" s="155">
        <f>+ภ.6!P17</f>
        <v>0</v>
      </c>
      <c r="G26" s="130">
        <f t="shared" si="5"/>
        <v>13604100</v>
      </c>
      <c r="H26" s="129">
        <f t="shared" si="6"/>
        <v>5</v>
      </c>
      <c r="I26" s="130">
        <f>+ภ.6!K17</f>
        <v>0</v>
      </c>
      <c r="J26" s="129">
        <f>+ภ.6!Q17</f>
        <v>0</v>
      </c>
      <c r="K26" s="127">
        <f>+ภ.6!O33</f>
        <v>117707500</v>
      </c>
      <c r="L26" s="128">
        <f>+ภ.6!A33</f>
        <v>12</v>
      </c>
      <c r="M26" s="127">
        <f>+ภ.6!J33</f>
        <v>0</v>
      </c>
      <c r="N26" s="128">
        <f>+ภ.6!P33</f>
        <v>0</v>
      </c>
      <c r="O26" s="130">
        <f t="shared" si="7"/>
        <v>117707500</v>
      </c>
      <c r="P26" s="130">
        <f t="shared" si="8"/>
        <v>12</v>
      </c>
      <c r="Q26" s="127">
        <f>+ภ.6!K33</f>
        <v>0</v>
      </c>
      <c r="R26" s="105">
        <f>+ภ.6!Q33</f>
        <v>0</v>
      </c>
      <c r="S26" s="127">
        <f t="shared" si="21"/>
        <v>131311600</v>
      </c>
      <c r="T26" s="126">
        <f t="shared" si="22"/>
        <v>17</v>
      </c>
      <c r="U26" s="130">
        <f t="shared" si="18"/>
        <v>0</v>
      </c>
      <c r="V26" s="126">
        <f t="shared" si="19"/>
        <v>0</v>
      </c>
      <c r="W26" s="130">
        <f t="shared" si="24"/>
        <v>131311600</v>
      </c>
      <c r="X26" s="126">
        <f t="shared" si="25"/>
        <v>17</v>
      </c>
      <c r="Y26" s="127">
        <f t="shared" si="23"/>
        <v>0</v>
      </c>
      <c r="Z26" s="155">
        <f t="shared" si="20"/>
        <v>0</v>
      </c>
      <c r="AA26" s="124">
        <f>+S26-ภ.6!P57</f>
        <v>131311600</v>
      </c>
      <c r="AB26" s="34">
        <f t="shared" si="26"/>
        <v>0</v>
      </c>
      <c r="AC26" s="76">
        <f>+S26-ภ.6!P57</f>
        <v>131311600</v>
      </c>
      <c r="AD26" s="76">
        <f>+Y26-ภ.6!K57</f>
        <v>0</v>
      </c>
    </row>
    <row r="27" spans="1:30" x14ac:dyDescent="0.55000000000000004">
      <c r="A27" s="104">
        <v>22</v>
      </c>
      <c r="B27" s="103" t="s">
        <v>13</v>
      </c>
      <c r="C27" s="127">
        <f>+ภ.7!O15</f>
        <v>391200</v>
      </c>
      <c r="D27" s="129">
        <f>+ภ.7!A15</f>
        <v>3</v>
      </c>
      <c r="E27" s="130">
        <f>+ภ.7!J15</f>
        <v>0</v>
      </c>
      <c r="F27" s="155">
        <f>+ภ.7!P15</f>
        <v>0</v>
      </c>
      <c r="G27" s="130">
        <f t="shared" si="5"/>
        <v>391200</v>
      </c>
      <c r="H27" s="129">
        <f t="shared" si="6"/>
        <v>3</v>
      </c>
      <c r="I27" s="130">
        <f>+ภ.7!K15</f>
        <v>0</v>
      </c>
      <c r="J27" s="129">
        <f>+ภ.7!Q15</f>
        <v>0</v>
      </c>
      <c r="K27" s="127">
        <f>+ภ.7!O19</f>
        <v>400000</v>
      </c>
      <c r="L27" s="128">
        <f>+ภ.7!A19</f>
        <v>1</v>
      </c>
      <c r="M27" s="127">
        <f>+ภ.7!J19</f>
        <v>0</v>
      </c>
      <c r="N27" s="128">
        <f>+ภ.7!P19</f>
        <v>0</v>
      </c>
      <c r="O27" s="130">
        <f t="shared" si="7"/>
        <v>400000</v>
      </c>
      <c r="P27" s="130">
        <f t="shared" si="8"/>
        <v>1</v>
      </c>
      <c r="Q27" s="127">
        <f>+ภ.7!K19</f>
        <v>0</v>
      </c>
      <c r="R27" s="105">
        <f>+ภ.7!Q19</f>
        <v>0</v>
      </c>
      <c r="S27" s="127">
        <f t="shared" si="21"/>
        <v>791200</v>
      </c>
      <c r="T27" s="126">
        <f t="shared" si="22"/>
        <v>4</v>
      </c>
      <c r="U27" s="130">
        <f t="shared" si="18"/>
        <v>0</v>
      </c>
      <c r="V27" s="126">
        <f t="shared" si="19"/>
        <v>0</v>
      </c>
      <c r="W27" s="130">
        <f t="shared" si="24"/>
        <v>791200</v>
      </c>
      <c r="X27" s="126">
        <f t="shared" si="25"/>
        <v>4</v>
      </c>
      <c r="Y27" s="127">
        <f t="shared" si="23"/>
        <v>0</v>
      </c>
      <c r="Z27" s="155">
        <f t="shared" si="20"/>
        <v>0</v>
      </c>
      <c r="AA27" s="124">
        <f>+S27-ภ.7!P36</f>
        <v>791200</v>
      </c>
      <c r="AB27" s="34">
        <f t="shared" si="26"/>
        <v>0</v>
      </c>
      <c r="AC27" s="76">
        <f>+S27-ภ.7!P36</f>
        <v>791200</v>
      </c>
      <c r="AD27" s="76">
        <f>+Y27-ภ.7!K36</f>
        <v>0</v>
      </c>
    </row>
    <row r="28" spans="1:30" x14ac:dyDescent="0.55000000000000004">
      <c r="A28" s="104">
        <v>23</v>
      </c>
      <c r="B28" s="103" t="s">
        <v>14</v>
      </c>
      <c r="C28" s="127">
        <f>+ภ.8!O27</f>
        <v>8495200</v>
      </c>
      <c r="D28" s="129">
        <f>+ภ.8!A27</f>
        <v>15</v>
      </c>
      <c r="E28" s="130">
        <f>+ภ.8!J27</f>
        <v>0</v>
      </c>
      <c r="F28" s="155">
        <f>+ภ.8!P27</f>
        <v>0</v>
      </c>
      <c r="G28" s="130">
        <f t="shared" si="5"/>
        <v>8495200</v>
      </c>
      <c r="H28" s="129">
        <f t="shared" si="6"/>
        <v>15</v>
      </c>
      <c r="I28" s="130">
        <f>+ภ.8!K27</f>
        <v>0</v>
      </c>
      <c r="J28" s="129">
        <f>+ภ.8!Q27</f>
        <v>0</v>
      </c>
      <c r="K28" s="127">
        <f>+ภ.8!O35</f>
        <v>58371700</v>
      </c>
      <c r="L28" s="128">
        <f>+ภ.8!A35</f>
        <v>5</v>
      </c>
      <c r="M28" s="127">
        <f>+ภ.8!J35</f>
        <v>0</v>
      </c>
      <c r="N28" s="128">
        <f>+ภ.8!P35</f>
        <v>0</v>
      </c>
      <c r="O28" s="130">
        <f t="shared" si="7"/>
        <v>58371700</v>
      </c>
      <c r="P28" s="130">
        <f t="shared" si="8"/>
        <v>5</v>
      </c>
      <c r="Q28" s="127">
        <f>+ภ.8!K35</f>
        <v>0</v>
      </c>
      <c r="R28" s="105">
        <f>+ภ.8!Q35</f>
        <v>0</v>
      </c>
      <c r="S28" s="127">
        <f t="shared" si="21"/>
        <v>66866900</v>
      </c>
      <c r="T28" s="126">
        <f t="shared" si="22"/>
        <v>20</v>
      </c>
      <c r="U28" s="130">
        <f t="shared" si="18"/>
        <v>0</v>
      </c>
      <c r="V28" s="126">
        <f t="shared" si="19"/>
        <v>0</v>
      </c>
      <c r="W28" s="130">
        <f t="shared" si="24"/>
        <v>66866900</v>
      </c>
      <c r="X28" s="126">
        <f t="shared" si="25"/>
        <v>20</v>
      </c>
      <c r="Y28" s="127">
        <f t="shared" si="23"/>
        <v>0</v>
      </c>
      <c r="Z28" s="155">
        <f t="shared" si="20"/>
        <v>0</v>
      </c>
      <c r="AA28" s="124">
        <f>+S28-ภ.8!P54</f>
        <v>66866900</v>
      </c>
      <c r="AB28" s="34">
        <f t="shared" si="26"/>
        <v>0</v>
      </c>
      <c r="AC28" s="76">
        <f>+S28-ภ.8!P54</f>
        <v>66866900</v>
      </c>
      <c r="AD28" s="76">
        <f>+Y28-ภ.8!K54</f>
        <v>0</v>
      </c>
    </row>
    <row r="29" spans="1:30" x14ac:dyDescent="0.55000000000000004">
      <c r="A29" s="104">
        <v>24</v>
      </c>
      <c r="B29" s="181" t="s">
        <v>15</v>
      </c>
      <c r="C29" s="127">
        <f>+ภ.9!O19</f>
        <v>6175600</v>
      </c>
      <c r="D29" s="128">
        <f>+ภ.9!A19</f>
        <v>7</v>
      </c>
      <c r="E29" s="130">
        <f>+ภ.9!J19</f>
        <v>0</v>
      </c>
      <c r="F29" s="155">
        <f>+ภ.9!P19</f>
        <v>0</v>
      </c>
      <c r="G29" s="130">
        <f t="shared" si="5"/>
        <v>6175600</v>
      </c>
      <c r="H29" s="129">
        <f t="shared" si="6"/>
        <v>7</v>
      </c>
      <c r="I29" s="130">
        <f>+ภ.9!K19</f>
        <v>0</v>
      </c>
      <c r="J29" s="128">
        <f>+ภ.9!Q19</f>
        <v>0</v>
      </c>
      <c r="K29" s="127">
        <f>+ภ.9!O25</f>
        <v>25711100</v>
      </c>
      <c r="L29" s="128">
        <f>+ภ.9!A25</f>
        <v>3</v>
      </c>
      <c r="M29" s="127">
        <f>+ภ.9!J25</f>
        <v>0</v>
      </c>
      <c r="N29" s="128">
        <f>+ภ.9!P25</f>
        <v>0</v>
      </c>
      <c r="O29" s="130">
        <f t="shared" si="7"/>
        <v>25711100</v>
      </c>
      <c r="P29" s="130">
        <f t="shared" si="8"/>
        <v>3</v>
      </c>
      <c r="Q29" s="127">
        <f>+ภ.9!K25</f>
        <v>0</v>
      </c>
      <c r="R29" s="105">
        <f>+ภ.9!Q25</f>
        <v>0</v>
      </c>
      <c r="S29" s="127">
        <f t="shared" si="21"/>
        <v>31886700</v>
      </c>
      <c r="T29" s="126">
        <f t="shared" si="22"/>
        <v>10</v>
      </c>
      <c r="U29" s="130">
        <f t="shared" si="18"/>
        <v>0</v>
      </c>
      <c r="V29" s="126">
        <f t="shared" si="19"/>
        <v>0</v>
      </c>
      <c r="W29" s="130">
        <f t="shared" si="24"/>
        <v>31886700</v>
      </c>
      <c r="X29" s="126">
        <f t="shared" si="25"/>
        <v>10</v>
      </c>
      <c r="Y29" s="127">
        <f t="shared" si="23"/>
        <v>0</v>
      </c>
      <c r="Z29" s="155">
        <f t="shared" si="20"/>
        <v>0</v>
      </c>
      <c r="AA29" s="124">
        <f>+S29-ภ.9!P39</f>
        <v>31886700</v>
      </c>
      <c r="AB29" s="34">
        <f t="shared" si="26"/>
        <v>0</v>
      </c>
      <c r="AC29" s="76">
        <f>+S29-ภ.9!P39</f>
        <v>31886700</v>
      </c>
      <c r="AD29" s="76">
        <f>+Y29-ภ.9!K39</f>
        <v>0</v>
      </c>
    </row>
    <row r="30" spans="1:30" x14ac:dyDescent="0.55000000000000004">
      <c r="A30" s="104">
        <v>25</v>
      </c>
      <c r="B30" s="103" t="s">
        <v>16</v>
      </c>
      <c r="C30" s="127">
        <f>+ศชต.!O27</f>
        <v>54292700</v>
      </c>
      <c r="D30" s="128">
        <f>+ศชต.!A27</f>
        <v>15</v>
      </c>
      <c r="E30" s="130">
        <f>+ศชต.!J27</f>
        <v>0</v>
      </c>
      <c r="F30" s="155">
        <f>+ศชต.!P27</f>
        <v>0</v>
      </c>
      <c r="G30" s="130">
        <f t="shared" si="5"/>
        <v>54292700</v>
      </c>
      <c r="H30" s="129">
        <f t="shared" si="6"/>
        <v>15</v>
      </c>
      <c r="I30" s="130">
        <f>+ศชต.!K27</f>
        <v>0</v>
      </c>
      <c r="J30" s="128">
        <f>+ศชต.!Q27</f>
        <v>0</v>
      </c>
      <c r="K30" s="127">
        <f>+ศชต.!O54</f>
        <v>215980100</v>
      </c>
      <c r="L30" s="128">
        <f>+ศชต.!A54</f>
        <v>24</v>
      </c>
      <c r="M30" s="127">
        <f>+ศชต.!J54</f>
        <v>0</v>
      </c>
      <c r="N30" s="128">
        <f>+ศชต.!P54</f>
        <v>0</v>
      </c>
      <c r="O30" s="130">
        <f t="shared" si="7"/>
        <v>215980100</v>
      </c>
      <c r="P30" s="130">
        <f t="shared" si="8"/>
        <v>24</v>
      </c>
      <c r="Q30" s="127">
        <f>+ศชต.!K54</f>
        <v>0</v>
      </c>
      <c r="R30" s="105">
        <f>+ศชต.!Q54</f>
        <v>0</v>
      </c>
      <c r="S30" s="127">
        <f t="shared" si="21"/>
        <v>270272800</v>
      </c>
      <c r="T30" s="126">
        <f t="shared" si="22"/>
        <v>39</v>
      </c>
      <c r="U30" s="130">
        <f t="shared" si="18"/>
        <v>0</v>
      </c>
      <c r="V30" s="126">
        <f t="shared" si="19"/>
        <v>0</v>
      </c>
      <c r="W30" s="130">
        <f t="shared" si="24"/>
        <v>270272800</v>
      </c>
      <c r="X30" s="126">
        <f t="shared" si="25"/>
        <v>39</v>
      </c>
      <c r="Y30" s="127">
        <f t="shared" si="23"/>
        <v>0</v>
      </c>
      <c r="Z30" s="155">
        <f t="shared" si="20"/>
        <v>0</v>
      </c>
      <c r="AA30" s="124">
        <f>+S30-ศชต.!P71</f>
        <v>270272800</v>
      </c>
      <c r="AB30" s="34">
        <f t="shared" si="26"/>
        <v>0</v>
      </c>
      <c r="AC30" s="76">
        <f>+S30-ศชต.!P71</f>
        <v>270272800</v>
      </c>
      <c r="AD30" s="76">
        <f>+Y30-ศชต.!K71</f>
        <v>0</v>
      </c>
    </row>
    <row r="31" spans="1:30" x14ac:dyDescent="0.55000000000000004">
      <c r="A31" s="104">
        <v>26</v>
      </c>
      <c r="B31" s="103" t="s">
        <v>17</v>
      </c>
      <c r="C31" s="127">
        <f>+บช.ก.!O34</f>
        <v>62094300</v>
      </c>
      <c r="D31" s="129">
        <f>+บช.ก.!A34</f>
        <v>22</v>
      </c>
      <c r="E31" s="130">
        <f>+บช.ก.!J34</f>
        <v>0</v>
      </c>
      <c r="F31" s="155">
        <f>+บช.ก.!P34</f>
        <v>0</v>
      </c>
      <c r="G31" s="130">
        <f t="shared" si="5"/>
        <v>62094300</v>
      </c>
      <c r="H31" s="129">
        <f t="shared" si="6"/>
        <v>22</v>
      </c>
      <c r="I31" s="130">
        <f>+บช.ก.!K34</f>
        <v>0</v>
      </c>
      <c r="J31" s="129">
        <f>+บช.ก.!Q34</f>
        <v>0</v>
      </c>
      <c r="K31" s="127">
        <f>+บช.ก.!O38</f>
        <v>8817000</v>
      </c>
      <c r="L31" s="130">
        <f>+บช.ก.!A38</f>
        <v>1</v>
      </c>
      <c r="M31" s="127">
        <f>+บช.ก.!J38</f>
        <v>0</v>
      </c>
      <c r="N31" s="128">
        <f>+บช.ก.!P38</f>
        <v>0</v>
      </c>
      <c r="O31" s="130">
        <f t="shared" si="7"/>
        <v>8817000</v>
      </c>
      <c r="P31" s="130">
        <f t="shared" si="8"/>
        <v>1</v>
      </c>
      <c r="Q31" s="127">
        <f>+บช.ก.!K38</f>
        <v>0</v>
      </c>
      <c r="R31" s="105">
        <f>+บช.ก.!Q38</f>
        <v>0</v>
      </c>
      <c r="S31" s="127">
        <f t="shared" si="21"/>
        <v>70911300</v>
      </c>
      <c r="T31" s="126">
        <f t="shared" si="22"/>
        <v>23</v>
      </c>
      <c r="U31" s="130">
        <f t="shared" si="18"/>
        <v>0</v>
      </c>
      <c r="V31" s="126">
        <f t="shared" si="19"/>
        <v>0</v>
      </c>
      <c r="W31" s="130">
        <f t="shared" si="24"/>
        <v>70911300</v>
      </c>
      <c r="X31" s="126">
        <f t="shared" si="25"/>
        <v>23</v>
      </c>
      <c r="Y31" s="127">
        <f t="shared" si="23"/>
        <v>0</v>
      </c>
      <c r="Z31" s="155">
        <f t="shared" si="20"/>
        <v>0</v>
      </c>
      <c r="AA31" s="124">
        <f>+S31-บช.ก.!P56</f>
        <v>70911300</v>
      </c>
      <c r="AB31" s="34">
        <f t="shared" si="26"/>
        <v>0</v>
      </c>
      <c r="AC31" s="76">
        <f>+S31-บช.ก.!P56</f>
        <v>70911300</v>
      </c>
      <c r="AD31" s="76">
        <f>+Y31-บช.ก.!K56</f>
        <v>0</v>
      </c>
    </row>
    <row r="32" spans="1:30" x14ac:dyDescent="0.55000000000000004">
      <c r="A32" s="104"/>
      <c r="B32" s="103" t="s">
        <v>253</v>
      </c>
      <c r="C32" s="127">
        <f>+รน.!M12</f>
        <v>0</v>
      </c>
      <c r="D32" s="129">
        <f>+รน.!A12</f>
        <v>0</v>
      </c>
      <c r="E32" s="130">
        <f>+รน.!J12</f>
        <v>0</v>
      </c>
      <c r="F32" s="155">
        <f>+รน.!N12</f>
        <v>0</v>
      </c>
      <c r="G32" s="130">
        <f t="shared" si="5"/>
        <v>0</v>
      </c>
      <c r="H32" s="129">
        <f t="shared" si="6"/>
        <v>0</v>
      </c>
      <c r="I32" s="130">
        <f>+รน.!K12</f>
        <v>0</v>
      </c>
      <c r="J32" s="129">
        <f>+รน.!O12</f>
        <v>0</v>
      </c>
      <c r="K32" s="127">
        <f>+รน.!M15</f>
        <v>0</v>
      </c>
      <c r="L32" s="128">
        <f>+รน.!A15</f>
        <v>0</v>
      </c>
      <c r="M32" s="127">
        <f>+รน.!J15</f>
        <v>0</v>
      </c>
      <c r="N32" s="128">
        <f>+รน.!N15</f>
        <v>0</v>
      </c>
      <c r="O32" s="130">
        <f t="shared" si="7"/>
        <v>0</v>
      </c>
      <c r="P32" s="130">
        <f t="shared" si="8"/>
        <v>0</v>
      </c>
      <c r="Q32" s="127">
        <f>+รน.!K15</f>
        <v>0</v>
      </c>
      <c r="R32" s="105">
        <f>+รน.!O15</f>
        <v>0</v>
      </c>
      <c r="S32" s="127">
        <f t="shared" ref="S32:Z32" si="27">+C32+K32</f>
        <v>0</v>
      </c>
      <c r="T32" s="126">
        <f t="shared" si="27"/>
        <v>0</v>
      </c>
      <c r="U32" s="130">
        <f t="shared" si="27"/>
        <v>0</v>
      </c>
      <c r="V32" s="126">
        <f t="shared" si="27"/>
        <v>0</v>
      </c>
      <c r="W32" s="130">
        <f t="shared" si="27"/>
        <v>0</v>
      </c>
      <c r="X32" s="126">
        <f t="shared" si="27"/>
        <v>0</v>
      </c>
      <c r="Y32" s="127">
        <f t="shared" si="27"/>
        <v>0</v>
      </c>
      <c r="Z32" s="155">
        <f t="shared" si="27"/>
        <v>0</v>
      </c>
      <c r="AA32" s="124">
        <f>+S32-รน.!N21</f>
        <v>0</v>
      </c>
      <c r="AB32" s="34" t="e">
        <f>+Y32*100/S32</f>
        <v>#DIV/0!</v>
      </c>
      <c r="AC32" s="76">
        <f>+S32-รน.!N21</f>
        <v>0</v>
      </c>
      <c r="AD32" s="76">
        <f>+Y32-รน.!K21</f>
        <v>0</v>
      </c>
    </row>
    <row r="33" spans="1:30" x14ac:dyDescent="0.55000000000000004">
      <c r="A33" s="104">
        <v>27</v>
      </c>
      <c r="B33" s="103" t="s">
        <v>18</v>
      </c>
      <c r="C33" s="127">
        <f>+บช.ปส.!O54</f>
        <v>691350900</v>
      </c>
      <c r="D33" s="129">
        <f>+บช.ปส.!A28</f>
        <v>15</v>
      </c>
      <c r="E33" s="130">
        <f>+บช.ปส.!J54</f>
        <v>0</v>
      </c>
      <c r="F33" s="155">
        <f>+บช.ปส.!P54</f>
        <v>0</v>
      </c>
      <c r="G33" s="130">
        <f t="shared" si="5"/>
        <v>691350900</v>
      </c>
      <c r="H33" s="129">
        <f t="shared" si="6"/>
        <v>15</v>
      </c>
      <c r="I33" s="130">
        <f>+บช.ปส.!K54</f>
        <v>0</v>
      </c>
      <c r="J33" s="129">
        <f>+บช.ปส.!Q54</f>
        <v>0</v>
      </c>
      <c r="K33" s="127">
        <f>+บช.ปส.!O58</f>
        <v>0</v>
      </c>
      <c r="L33" s="130">
        <f>+บช.ปส.!A43</f>
        <v>0</v>
      </c>
      <c r="M33" s="127">
        <f>+บช.ปส.!J58</f>
        <v>0</v>
      </c>
      <c r="N33" s="130">
        <f>+บช.ปส.!P58</f>
        <v>0</v>
      </c>
      <c r="O33" s="130">
        <f t="shared" si="7"/>
        <v>0</v>
      </c>
      <c r="P33" s="130">
        <f t="shared" si="8"/>
        <v>0</v>
      </c>
      <c r="Q33" s="127">
        <f>+บช.ปส.!K58</f>
        <v>0</v>
      </c>
      <c r="R33" s="105">
        <f>+บช.ปส.!Q58</f>
        <v>0</v>
      </c>
      <c r="S33" s="127">
        <f t="shared" si="21"/>
        <v>691350900</v>
      </c>
      <c r="T33" s="126">
        <f t="shared" si="22"/>
        <v>15</v>
      </c>
      <c r="U33" s="130">
        <f t="shared" si="18"/>
        <v>0</v>
      </c>
      <c r="V33" s="126">
        <f t="shared" si="19"/>
        <v>0</v>
      </c>
      <c r="W33" s="130">
        <f t="shared" si="24"/>
        <v>691350900</v>
      </c>
      <c r="X33" s="126">
        <f t="shared" si="25"/>
        <v>15</v>
      </c>
      <c r="Y33" s="127">
        <f t="shared" si="23"/>
        <v>0</v>
      </c>
      <c r="Z33" s="155">
        <f t="shared" si="20"/>
        <v>0</v>
      </c>
      <c r="AA33" s="124">
        <f>+S33-บช.ปส.!P103</f>
        <v>691350900</v>
      </c>
      <c r="AB33" s="34">
        <f t="shared" si="26"/>
        <v>0</v>
      </c>
      <c r="AC33" s="76">
        <f>+S33-บช.ปส.!P103</f>
        <v>691350900</v>
      </c>
      <c r="AD33" s="76">
        <f>+Y33-บช.ปส.!K103</f>
        <v>0</v>
      </c>
    </row>
    <row r="34" spans="1:30" x14ac:dyDescent="0.55000000000000004">
      <c r="A34" s="104">
        <v>28</v>
      </c>
      <c r="B34" s="103" t="s">
        <v>19</v>
      </c>
      <c r="C34" s="127">
        <f>+บช.ส.!O16</f>
        <v>226701000</v>
      </c>
      <c r="D34" s="129">
        <f>+บช.ส.!A16</f>
        <v>4</v>
      </c>
      <c r="E34" s="130" t="e">
        <f>+บช.ส.!J16</f>
        <v>#REF!</v>
      </c>
      <c r="F34" s="155">
        <f>+บช.ส.!P16</f>
        <v>0</v>
      </c>
      <c r="G34" s="130" t="e">
        <f t="shared" si="5"/>
        <v>#REF!</v>
      </c>
      <c r="H34" s="129">
        <f t="shared" si="6"/>
        <v>4</v>
      </c>
      <c r="I34" s="130" t="e">
        <f>+บช.ส.!K16</f>
        <v>#REF!</v>
      </c>
      <c r="J34" s="129">
        <f>+บช.ส.!Q16</f>
        <v>0</v>
      </c>
      <c r="K34" s="127">
        <f>+บช.ส.!O22</f>
        <v>62472100</v>
      </c>
      <c r="L34" s="128">
        <f>+บช.ส.!A22</f>
        <v>3</v>
      </c>
      <c r="M34" s="127">
        <f>+บช.ส.!J22</f>
        <v>0</v>
      </c>
      <c r="N34" s="128">
        <f>+บช.ส.!P22</f>
        <v>0</v>
      </c>
      <c r="O34" s="130">
        <f t="shared" si="7"/>
        <v>62472100</v>
      </c>
      <c r="P34" s="130">
        <f t="shared" si="8"/>
        <v>3</v>
      </c>
      <c r="Q34" s="127">
        <f>+บช.ส.!K22</f>
        <v>0</v>
      </c>
      <c r="R34" s="105">
        <f>+บช.ส.!Q22</f>
        <v>0</v>
      </c>
      <c r="S34" s="127">
        <f t="shared" si="21"/>
        <v>289173100</v>
      </c>
      <c r="T34" s="126">
        <f t="shared" si="22"/>
        <v>7</v>
      </c>
      <c r="U34" s="130" t="e">
        <f t="shared" si="18"/>
        <v>#REF!</v>
      </c>
      <c r="V34" s="126">
        <f t="shared" si="19"/>
        <v>0</v>
      </c>
      <c r="W34" s="130" t="e">
        <f t="shared" si="24"/>
        <v>#REF!</v>
      </c>
      <c r="X34" s="126">
        <f t="shared" si="25"/>
        <v>7</v>
      </c>
      <c r="Y34" s="127" t="e">
        <f t="shared" si="23"/>
        <v>#REF!</v>
      </c>
      <c r="Z34" s="155">
        <f t="shared" si="20"/>
        <v>0</v>
      </c>
      <c r="AA34" s="124">
        <f>+S34-บช.ส.!P29</f>
        <v>289173100</v>
      </c>
      <c r="AB34" s="34" t="e">
        <f t="shared" si="26"/>
        <v>#REF!</v>
      </c>
      <c r="AC34" s="76">
        <f>+S34-บช.ส.!P29</f>
        <v>289173100</v>
      </c>
      <c r="AD34" s="76" t="e">
        <f>+Y34-บช.ส.!K29</f>
        <v>#REF!</v>
      </c>
    </row>
    <row r="35" spans="1:30" x14ac:dyDescent="0.55000000000000004">
      <c r="A35" s="104">
        <v>29</v>
      </c>
      <c r="B35" s="103" t="s">
        <v>20</v>
      </c>
      <c r="C35" s="127">
        <f>+สตม.!O22</f>
        <v>0</v>
      </c>
      <c r="D35" s="129">
        <f>+สตม.!A22</f>
        <v>0</v>
      </c>
      <c r="E35" s="130">
        <f>+สตม.!J22</f>
        <v>0</v>
      </c>
      <c r="F35" s="155">
        <f>+สตม.!P22</f>
        <v>0</v>
      </c>
      <c r="G35" s="130">
        <f t="shared" si="5"/>
        <v>0</v>
      </c>
      <c r="H35" s="129">
        <f t="shared" si="6"/>
        <v>0</v>
      </c>
      <c r="I35" s="130">
        <f>+สตม.!K22</f>
        <v>0</v>
      </c>
      <c r="J35" s="129">
        <f>+สตม.!Q22</f>
        <v>0</v>
      </c>
      <c r="K35" s="127">
        <f>+สตม.!O33</f>
        <v>200790800</v>
      </c>
      <c r="L35" s="128">
        <f>+สตม.!A33</f>
        <v>8</v>
      </c>
      <c r="M35" s="127">
        <f>+สตม.!J33</f>
        <v>0</v>
      </c>
      <c r="N35" s="128">
        <f>+สตม.!P33</f>
        <v>0</v>
      </c>
      <c r="O35" s="130">
        <f t="shared" si="7"/>
        <v>200790800</v>
      </c>
      <c r="P35" s="130">
        <f t="shared" si="8"/>
        <v>8</v>
      </c>
      <c r="Q35" s="127">
        <f>+สตม.!K33</f>
        <v>0</v>
      </c>
      <c r="R35" s="105">
        <f>+สตม.!Q33</f>
        <v>0</v>
      </c>
      <c r="S35" s="127">
        <f t="shared" si="21"/>
        <v>200790800</v>
      </c>
      <c r="T35" s="126">
        <f t="shared" si="22"/>
        <v>8</v>
      </c>
      <c r="U35" s="130">
        <f t="shared" si="18"/>
        <v>0</v>
      </c>
      <c r="V35" s="126">
        <f t="shared" si="19"/>
        <v>0</v>
      </c>
      <c r="W35" s="130">
        <f t="shared" si="24"/>
        <v>200790800</v>
      </c>
      <c r="X35" s="126">
        <f t="shared" si="25"/>
        <v>8</v>
      </c>
      <c r="Y35" s="127">
        <f t="shared" si="23"/>
        <v>0</v>
      </c>
      <c r="Z35" s="155">
        <f t="shared" si="20"/>
        <v>0</v>
      </c>
      <c r="AA35" s="124">
        <f>+S35-สตม.!P44</f>
        <v>200790800</v>
      </c>
      <c r="AB35" s="34">
        <f t="shared" si="26"/>
        <v>0</v>
      </c>
      <c r="AC35" s="76">
        <f>+S35-สตม.!P44</f>
        <v>200790800</v>
      </c>
      <c r="AD35" s="76">
        <f>+Y35-สตม.!K44</f>
        <v>0</v>
      </c>
    </row>
    <row r="36" spans="1:30" x14ac:dyDescent="0.55000000000000004">
      <c r="A36" s="104">
        <v>30</v>
      </c>
      <c r="B36" s="242" t="s">
        <v>21</v>
      </c>
      <c r="C36" s="127">
        <f>+บช.ตชด.!O38</f>
        <v>74186000</v>
      </c>
      <c r="D36" s="129">
        <f>+บช.ตชด.!A38</f>
        <v>26</v>
      </c>
      <c r="E36" s="130">
        <f>+บช.ตชด.!J38</f>
        <v>0</v>
      </c>
      <c r="F36" s="155">
        <f>+บช.ตชด.!P38</f>
        <v>0</v>
      </c>
      <c r="G36" s="130">
        <f t="shared" si="5"/>
        <v>74186000</v>
      </c>
      <c r="H36" s="129">
        <f t="shared" si="6"/>
        <v>26</v>
      </c>
      <c r="I36" s="130">
        <f>+บช.ตชด.!K38</f>
        <v>0</v>
      </c>
      <c r="J36" s="129">
        <f>+บช.ตชด.!Q38</f>
        <v>0</v>
      </c>
      <c r="K36" s="127">
        <f>+บช.ตชด.!O82</f>
        <v>183013400</v>
      </c>
      <c r="L36" s="128">
        <f>+บช.ตชด.!A82</f>
        <v>41</v>
      </c>
      <c r="M36" s="127">
        <f>+บช.ตชด.!J82</f>
        <v>0</v>
      </c>
      <c r="N36" s="128">
        <f>+บช.ตชด.!P82</f>
        <v>0</v>
      </c>
      <c r="O36" s="130">
        <f t="shared" si="7"/>
        <v>183013400</v>
      </c>
      <c r="P36" s="130">
        <f t="shared" si="8"/>
        <v>41</v>
      </c>
      <c r="Q36" s="127">
        <f>+บช.ตชด.!K82</f>
        <v>0</v>
      </c>
      <c r="R36" s="105">
        <f>+บช.ตชด.!Q82</f>
        <v>0</v>
      </c>
      <c r="S36" s="127">
        <f t="shared" si="21"/>
        <v>257199400</v>
      </c>
      <c r="T36" s="126">
        <f t="shared" si="22"/>
        <v>67</v>
      </c>
      <c r="U36" s="130">
        <f t="shared" si="18"/>
        <v>0</v>
      </c>
      <c r="V36" s="126">
        <f t="shared" si="19"/>
        <v>0</v>
      </c>
      <c r="W36" s="130">
        <f t="shared" si="24"/>
        <v>257199400</v>
      </c>
      <c r="X36" s="126">
        <f t="shared" si="25"/>
        <v>67</v>
      </c>
      <c r="Y36" s="127">
        <f t="shared" si="23"/>
        <v>0</v>
      </c>
      <c r="Z36" s="155">
        <f t="shared" si="20"/>
        <v>0</v>
      </c>
      <c r="AA36" s="124">
        <f>+S36-บช.ตชด.!P108</f>
        <v>257199400</v>
      </c>
      <c r="AB36" s="34">
        <f t="shared" si="26"/>
        <v>0</v>
      </c>
      <c r="AC36" s="76">
        <f>+S36-บช.ตชด.!P108</f>
        <v>257199400</v>
      </c>
      <c r="AD36" s="76">
        <f>+Y36-บช.ตชด.!K108</f>
        <v>0</v>
      </c>
    </row>
    <row r="37" spans="1:30" x14ac:dyDescent="0.55000000000000004">
      <c r="A37" s="104">
        <v>31</v>
      </c>
      <c r="B37" s="242" t="s">
        <v>22</v>
      </c>
      <c r="C37" s="127">
        <f>+สง.นรป.!O13</f>
        <v>3300000</v>
      </c>
      <c r="D37" s="129">
        <f>+สง.นรป.!A13</f>
        <v>1</v>
      </c>
      <c r="E37" s="130">
        <f>+สง.นรป.!J13</f>
        <v>0</v>
      </c>
      <c r="F37" s="155">
        <f>+สง.นรป.!P13</f>
        <v>0</v>
      </c>
      <c r="G37" s="130">
        <f t="shared" si="5"/>
        <v>3300000</v>
      </c>
      <c r="H37" s="129">
        <f t="shared" si="6"/>
        <v>1</v>
      </c>
      <c r="I37" s="130">
        <f>+สง.นรป.!K13</f>
        <v>0</v>
      </c>
      <c r="J37" s="129">
        <f>+สง.นรป.!Q13</f>
        <v>0</v>
      </c>
      <c r="K37" s="127">
        <f>+สง.นรป.!O17</f>
        <v>0</v>
      </c>
      <c r="L37" s="128">
        <f>+สง.นรป.!A17</f>
        <v>0</v>
      </c>
      <c r="M37" s="127">
        <f>+สง.นรป.!J17</f>
        <v>0</v>
      </c>
      <c r="N37" s="128">
        <f>+สง.นรป.!P17</f>
        <v>0</v>
      </c>
      <c r="O37" s="130">
        <f t="shared" si="7"/>
        <v>0</v>
      </c>
      <c r="P37" s="130">
        <f t="shared" si="8"/>
        <v>0</v>
      </c>
      <c r="Q37" s="127">
        <f>+สง.นรป.!K17</f>
        <v>0</v>
      </c>
      <c r="R37" s="105">
        <f>+สง.นรป.!Q17</f>
        <v>0</v>
      </c>
      <c r="S37" s="127"/>
      <c r="T37" s="126"/>
      <c r="U37" s="130"/>
      <c r="V37" s="126"/>
      <c r="W37" s="130"/>
      <c r="X37" s="126"/>
      <c r="Y37" s="127"/>
      <c r="Z37" s="155"/>
      <c r="AA37" s="124"/>
      <c r="AC37" s="76"/>
      <c r="AD37" s="76"/>
    </row>
    <row r="38" spans="1:30" x14ac:dyDescent="0.55000000000000004">
      <c r="A38" s="104">
        <v>32</v>
      </c>
      <c r="B38" s="23" t="s">
        <v>23</v>
      </c>
      <c r="C38" s="127">
        <f>+สพฐ.ตร.!O19</f>
        <v>27022000</v>
      </c>
      <c r="D38" s="129">
        <f>+สพฐ.ตร.!A19</f>
        <v>7</v>
      </c>
      <c r="E38" s="130">
        <f>+สพฐ.ตร.!J19</f>
        <v>0</v>
      </c>
      <c r="F38" s="155">
        <f>+สพฐ.ตร.!P19</f>
        <v>0</v>
      </c>
      <c r="G38" s="130">
        <f t="shared" si="5"/>
        <v>27022000</v>
      </c>
      <c r="H38" s="129">
        <f t="shared" si="6"/>
        <v>7</v>
      </c>
      <c r="I38" s="130">
        <f>+สพฐ.ตร.!K19</f>
        <v>0</v>
      </c>
      <c r="J38" s="129">
        <f>+สพฐ.ตร.!Q19</f>
        <v>0</v>
      </c>
      <c r="K38" s="127">
        <f>+สพฐ.ตร.!O25</f>
        <v>39200600</v>
      </c>
      <c r="L38" s="128">
        <f>+สพฐ.ตร.!A25</f>
        <v>3</v>
      </c>
      <c r="M38" s="127">
        <f>+สพฐ.ตร.!J25</f>
        <v>0</v>
      </c>
      <c r="N38" s="128">
        <f>+สพฐ.ตร.!P25</f>
        <v>0</v>
      </c>
      <c r="O38" s="130">
        <f t="shared" si="7"/>
        <v>39200600</v>
      </c>
      <c r="P38" s="130">
        <f t="shared" si="8"/>
        <v>3</v>
      </c>
      <c r="Q38" s="127">
        <f>+สพฐ.ตร.!K25</f>
        <v>0</v>
      </c>
      <c r="R38" s="105">
        <f>+สพฐ.ตร.!Q25</f>
        <v>0</v>
      </c>
      <c r="S38" s="127">
        <f t="shared" si="21"/>
        <v>66222600</v>
      </c>
      <c r="T38" s="126">
        <f t="shared" si="22"/>
        <v>10</v>
      </c>
      <c r="U38" s="130">
        <f t="shared" si="18"/>
        <v>0</v>
      </c>
      <c r="V38" s="126">
        <f t="shared" si="19"/>
        <v>0</v>
      </c>
      <c r="W38" s="130">
        <f t="shared" si="24"/>
        <v>66222600</v>
      </c>
      <c r="X38" s="126">
        <f t="shared" si="25"/>
        <v>10</v>
      </c>
      <c r="Y38" s="127">
        <f t="shared" si="23"/>
        <v>0</v>
      </c>
      <c r="Z38" s="155">
        <f t="shared" si="20"/>
        <v>0</v>
      </c>
      <c r="AA38" s="124">
        <f>+S38-สพฐ.ตร.!P57</f>
        <v>66222600</v>
      </c>
      <c r="AB38" s="34">
        <f t="shared" si="26"/>
        <v>0</v>
      </c>
      <c r="AC38" s="76">
        <f>+S38-สพฐ.ตร.!P57</f>
        <v>66222600</v>
      </c>
      <c r="AD38" s="76">
        <f>+Y38-สพฐ.ตร.!K57</f>
        <v>0</v>
      </c>
    </row>
    <row r="39" spans="1:30" x14ac:dyDescent="0.55000000000000004">
      <c r="A39" s="104">
        <v>33</v>
      </c>
      <c r="B39" s="103" t="s">
        <v>24</v>
      </c>
      <c r="C39" s="127">
        <f>+สทส.!O22</f>
        <v>208107900</v>
      </c>
      <c r="D39" s="129">
        <f>+สทส.!A22</f>
        <v>10</v>
      </c>
      <c r="E39" s="130">
        <f>+สทส.!J22</f>
        <v>0</v>
      </c>
      <c r="F39" s="155">
        <f>+สทส.!P22</f>
        <v>0</v>
      </c>
      <c r="G39" s="130">
        <f t="shared" si="5"/>
        <v>208107900</v>
      </c>
      <c r="H39" s="129">
        <f t="shared" si="6"/>
        <v>10</v>
      </c>
      <c r="I39" s="130">
        <f>+สทส.!K22</f>
        <v>0</v>
      </c>
      <c r="J39" s="129">
        <f>+สทส.!Q22</f>
        <v>0</v>
      </c>
      <c r="K39" s="127">
        <f>+สทส.!O27</f>
        <v>29473200</v>
      </c>
      <c r="L39" s="128">
        <f>+สทส.!A27</f>
        <v>2</v>
      </c>
      <c r="M39" s="127">
        <f>+สทส.!J27</f>
        <v>0</v>
      </c>
      <c r="N39" s="128">
        <f>+สทส.!P27</f>
        <v>0</v>
      </c>
      <c r="O39" s="130">
        <f t="shared" si="7"/>
        <v>29473200</v>
      </c>
      <c r="P39" s="130">
        <f t="shared" si="8"/>
        <v>2</v>
      </c>
      <c r="Q39" s="127">
        <f>+สทส.!K27</f>
        <v>0</v>
      </c>
      <c r="R39" s="105">
        <f>+สทส.!Q27</f>
        <v>0</v>
      </c>
      <c r="S39" s="127">
        <f t="shared" si="21"/>
        <v>237581100</v>
      </c>
      <c r="T39" s="126">
        <f t="shared" si="22"/>
        <v>12</v>
      </c>
      <c r="U39" s="130">
        <f t="shared" si="18"/>
        <v>0</v>
      </c>
      <c r="V39" s="126">
        <f t="shared" si="19"/>
        <v>0</v>
      </c>
      <c r="W39" s="130">
        <f t="shared" si="24"/>
        <v>237581100</v>
      </c>
      <c r="X39" s="126">
        <f t="shared" si="25"/>
        <v>12</v>
      </c>
      <c r="Y39" s="127">
        <f t="shared" si="23"/>
        <v>0</v>
      </c>
      <c r="Z39" s="155">
        <f t="shared" si="20"/>
        <v>0</v>
      </c>
      <c r="AA39" s="124">
        <f>+S39-สทส.!P34</f>
        <v>237581100</v>
      </c>
      <c r="AB39" s="34">
        <f t="shared" si="26"/>
        <v>0</v>
      </c>
      <c r="AC39" s="76">
        <f>+S39-สทส.!P34</f>
        <v>237581100</v>
      </c>
      <c r="AD39" s="76">
        <f>+Y39-สทส.!K34</f>
        <v>0</v>
      </c>
    </row>
    <row r="40" spans="1:30" x14ac:dyDescent="0.55000000000000004">
      <c r="A40" s="104">
        <v>34</v>
      </c>
      <c r="B40" s="103" t="s">
        <v>25</v>
      </c>
      <c r="C40" s="127">
        <f>+บช.ศ.!O25</f>
        <v>50666300</v>
      </c>
      <c r="D40" s="129">
        <f>+บช.ศ.!A25</f>
        <v>13</v>
      </c>
      <c r="E40" s="130">
        <f>+บช.ศ.!J25</f>
        <v>0</v>
      </c>
      <c r="F40" s="155">
        <f>+บช.ศ.!P25</f>
        <v>0</v>
      </c>
      <c r="G40" s="130">
        <f t="shared" si="5"/>
        <v>50666300</v>
      </c>
      <c r="H40" s="129">
        <f t="shared" si="6"/>
        <v>13</v>
      </c>
      <c r="I40" s="130">
        <f>+บช.ศ.!K25</f>
        <v>0</v>
      </c>
      <c r="J40" s="129">
        <f>+บช.ศ.!Q25</f>
        <v>0</v>
      </c>
      <c r="K40" s="127">
        <f>+บช.ศ.!O37</f>
        <v>252402000</v>
      </c>
      <c r="L40" s="128">
        <f>+บช.ศ.!A37</f>
        <v>8</v>
      </c>
      <c r="M40" s="127">
        <f>+บช.ศ.!J37</f>
        <v>0</v>
      </c>
      <c r="N40" s="128">
        <f>+บช.ศ.!P37</f>
        <v>0</v>
      </c>
      <c r="O40" s="130">
        <f t="shared" si="7"/>
        <v>252402000</v>
      </c>
      <c r="P40" s="130">
        <f t="shared" si="8"/>
        <v>8</v>
      </c>
      <c r="Q40" s="127">
        <f>+บช.ศ.!K37</f>
        <v>0</v>
      </c>
      <c r="R40" s="105">
        <f>+บช.ศ.!Q37</f>
        <v>0</v>
      </c>
      <c r="S40" s="127">
        <f t="shared" si="21"/>
        <v>303068300</v>
      </c>
      <c r="T40" s="126">
        <f t="shared" si="22"/>
        <v>21</v>
      </c>
      <c r="U40" s="130">
        <f t="shared" si="18"/>
        <v>0</v>
      </c>
      <c r="V40" s="126">
        <f t="shared" si="19"/>
        <v>0</v>
      </c>
      <c r="W40" s="130">
        <f t="shared" si="24"/>
        <v>303068300</v>
      </c>
      <c r="X40" s="126">
        <f t="shared" si="25"/>
        <v>21</v>
      </c>
      <c r="Y40" s="127">
        <f t="shared" si="23"/>
        <v>0</v>
      </c>
      <c r="Z40" s="155">
        <f t="shared" si="20"/>
        <v>0</v>
      </c>
      <c r="AA40" s="124">
        <f>+S40-บช.ศ.!P39</f>
        <v>303068300</v>
      </c>
      <c r="AB40" s="34">
        <f t="shared" si="26"/>
        <v>0</v>
      </c>
      <c r="AC40" s="76">
        <f>+S40-บช.ศ.!P39</f>
        <v>303068300</v>
      </c>
      <c r="AD40" s="76">
        <f>+Y40-บช.ศ.!K39</f>
        <v>0</v>
      </c>
    </row>
    <row r="41" spans="1:30" x14ac:dyDescent="0.55000000000000004">
      <c r="A41" s="104">
        <v>35</v>
      </c>
      <c r="B41" s="103" t="s">
        <v>26</v>
      </c>
      <c r="C41" s="127">
        <f>+รร.นรต.!O18</f>
        <v>11018500</v>
      </c>
      <c r="D41" s="129">
        <f>+รร.นรต.!A18</f>
        <v>6</v>
      </c>
      <c r="E41" s="130" t="e">
        <f>+รร.นรต.!J18</f>
        <v>#REF!</v>
      </c>
      <c r="F41" s="155">
        <f>+รร.นรต.!P18</f>
        <v>0</v>
      </c>
      <c r="G41" s="130" t="e">
        <f t="shared" si="5"/>
        <v>#REF!</v>
      </c>
      <c r="H41" s="129">
        <f t="shared" si="6"/>
        <v>6</v>
      </c>
      <c r="I41" s="130" t="e">
        <f>+รร.นรต.!K18</f>
        <v>#REF!</v>
      </c>
      <c r="J41" s="129">
        <f>+รร.นรต.!Q18</f>
        <v>0</v>
      </c>
      <c r="K41" s="127">
        <f>+รร.นรต.!O22</f>
        <v>0</v>
      </c>
      <c r="L41" s="128">
        <f>+รร.นรต.!A22</f>
        <v>0</v>
      </c>
      <c r="M41" s="127">
        <f>+รร.นรต.!J22</f>
        <v>0</v>
      </c>
      <c r="N41" s="128">
        <f>+รร.นรต.!P22</f>
        <v>0</v>
      </c>
      <c r="O41" s="130">
        <f t="shared" si="7"/>
        <v>0</v>
      </c>
      <c r="P41" s="130">
        <f t="shared" si="8"/>
        <v>0</v>
      </c>
      <c r="Q41" s="127">
        <f>+รร.นรต.!K22</f>
        <v>0</v>
      </c>
      <c r="R41" s="105">
        <f>+รร.นรต.!Q22</f>
        <v>0</v>
      </c>
      <c r="S41" s="127">
        <f t="shared" ref="S41:Z41" si="28">+C41+K41</f>
        <v>11018500</v>
      </c>
      <c r="T41" s="126">
        <f t="shared" si="28"/>
        <v>6</v>
      </c>
      <c r="U41" s="130" t="e">
        <f t="shared" si="28"/>
        <v>#REF!</v>
      </c>
      <c r="V41" s="126">
        <f t="shared" si="28"/>
        <v>0</v>
      </c>
      <c r="W41" s="130" t="e">
        <f t="shared" si="28"/>
        <v>#REF!</v>
      </c>
      <c r="X41" s="126">
        <f t="shared" si="28"/>
        <v>6</v>
      </c>
      <c r="Y41" s="127" t="e">
        <f t="shared" si="28"/>
        <v>#REF!</v>
      </c>
      <c r="Z41" s="155">
        <f t="shared" si="28"/>
        <v>0</v>
      </c>
      <c r="AA41" s="124">
        <f>+S41-รร.นรต.!P30</f>
        <v>11018500</v>
      </c>
      <c r="AB41" s="34" t="e">
        <f>+Y41*100/S41</f>
        <v>#REF!</v>
      </c>
      <c r="AC41" s="76">
        <f>+S41-รร.นรต.!P30</f>
        <v>11018500</v>
      </c>
      <c r="AD41" s="76" t="e">
        <f>+Y41-รร.นรต.!K30</f>
        <v>#REF!</v>
      </c>
    </row>
    <row r="42" spans="1:30" x14ac:dyDescent="0.55000000000000004">
      <c r="A42" s="104">
        <v>36</v>
      </c>
      <c r="B42" s="103" t="s">
        <v>27</v>
      </c>
      <c r="C42" s="127">
        <f>+รพ.ตร.!O17</f>
        <v>1173500</v>
      </c>
      <c r="D42" s="129">
        <f>+รพ.ตร.!A17</f>
        <v>5</v>
      </c>
      <c r="E42" s="130">
        <f>+รพ.ตร.!J17</f>
        <v>0</v>
      </c>
      <c r="F42" s="155">
        <f>+รพ.ตร.!P17</f>
        <v>0</v>
      </c>
      <c r="G42" s="130">
        <f t="shared" si="5"/>
        <v>1173500</v>
      </c>
      <c r="H42" s="129">
        <f t="shared" si="6"/>
        <v>5</v>
      </c>
      <c r="I42" s="130">
        <f>+รพ.ตร.!K17</f>
        <v>0</v>
      </c>
      <c r="J42" s="129">
        <f>+รพ.ตร.!Q17</f>
        <v>0</v>
      </c>
      <c r="K42" s="127">
        <f>+รพ.ตร.!O21</f>
        <v>0</v>
      </c>
      <c r="L42" s="130">
        <f>+รพ.ตร.!A21</f>
        <v>0</v>
      </c>
      <c r="M42" s="127">
        <f>+รพ.ตร.!J21</f>
        <v>0</v>
      </c>
      <c r="N42" s="130">
        <f>+รพ.ตร.!P21</f>
        <v>0</v>
      </c>
      <c r="O42" s="130">
        <f t="shared" si="7"/>
        <v>0</v>
      </c>
      <c r="P42" s="130">
        <f t="shared" si="8"/>
        <v>0</v>
      </c>
      <c r="Q42" s="127">
        <f>+รพ.ตร.!K21</f>
        <v>0</v>
      </c>
      <c r="R42" s="105">
        <f>+รพ.ตร.!Q21</f>
        <v>0</v>
      </c>
      <c r="S42" s="127">
        <f t="shared" si="21"/>
        <v>1173500</v>
      </c>
      <c r="T42" s="126">
        <f t="shared" si="22"/>
        <v>5</v>
      </c>
      <c r="U42" s="130">
        <f t="shared" si="18"/>
        <v>0</v>
      </c>
      <c r="V42" s="126">
        <f t="shared" si="19"/>
        <v>0</v>
      </c>
      <c r="W42" s="130">
        <f t="shared" si="24"/>
        <v>1173500</v>
      </c>
      <c r="X42" s="126">
        <f t="shared" si="25"/>
        <v>5</v>
      </c>
      <c r="Y42" s="127">
        <f t="shared" si="23"/>
        <v>0</v>
      </c>
      <c r="Z42" s="155">
        <f t="shared" si="20"/>
        <v>0</v>
      </c>
      <c r="AA42" s="124">
        <f>+S42-รพ.ตร.!P23</f>
        <v>1173500</v>
      </c>
      <c r="AB42" s="34">
        <f t="shared" si="26"/>
        <v>0</v>
      </c>
      <c r="AC42" s="76">
        <f>+S42-รพ.ตร.!P23</f>
        <v>1173500</v>
      </c>
      <c r="AD42" s="76">
        <f>+Y42-รพ.ตร.!K23</f>
        <v>0</v>
      </c>
    </row>
    <row r="43" spans="1:30" ht="24.75" thickBot="1" x14ac:dyDescent="0.6">
      <c r="A43" s="133"/>
      <c r="B43" s="134"/>
      <c r="C43" s="145"/>
      <c r="D43" s="135"/>
      <c r="E43" s="141"/>
      <c r="F43" s="156"/>
      <c r="G43" s="141"/>
      <c r="H43" s="135"/>
      <c r="I43" s="141"/>
      <c r="J43" s="135"/>
      <c r="K43" s="145"/>
      <c r="L43" s="153"/>
      <c r="M43" s="145"/>
      <c r="N43" s="153"/>
      <c r="O43" s="141"/>
      <c r="P43" s="153"/>
      <c r="Q43" s="145"/>
      <c r="R43" s="136"/>
      <c r="S43" s="145"/>
      <c r="T43" s="137"/>
      <c r="U43" s="141"/>
      <c r="V43" s="137"/>
      <c r="W43" s="141"/>
      <c r="X43" s="137"/>
      <c r="Y43" s="145"/>
      <c r="Z43" s="156"/>
    </row>
    <row r="44" spans="1:30" ht="24.75" thickBot="1" x14ac:dyDescent="0.6">
      <c r="A44" s="121"/>
      <c r="B44" s="122"/>
      <c r="C44" s="142">
        <f t="shared" ref="C44:O44" si="29">SUM(C5:C43)</f>
        <v>3153990500</v>
      </c>
      <c r="D44" s="123">
        <f t="shared" si="29"/>
        <v>281</v>
      </c>
      <c r="E44" s="142" t="e">
        <f t="shared" si="29"/>
        <v>#REF!</v>
      </c>
      <c r="F44" s="157">
        <f t="shared" si="29"/>
        <v>0</v>
      </c>
      <c r="G44" s="142" t="e">
        <f t="shared" si="29"/>
        <v>#REF!</v>
      </c>
      <c r="H44" s="179">
        <f t="shared" si="29"/>
        <v>281</v>
      </c>
      <c r="I44" s="142" t="e">
        <f t="shared" si="29"/>
        <v>#REF!</v>
      </c>
      <c r="J44" s="123">
        <f t="shared" si="29"/>
        <v>0</v>
      </c>
      <c r="K44" s="142" t="e">
        <f t="shared" si="29"/>
        <v>#REF!</v>
      </c>
      <c r="L44" s="154">
        <f t="shared" si="29"/>
        <v>143</v>
      </c>
      <c r="M44" s="142" t="e">
        <f t="shared" si="29"/>
        <v>#REF!</v>
      </c>
      <c r="N44" s="154" t="e">
        <f t="shared" si="29"/>
        <v>#REF!</v>
      </c>
      <c r="O44" s="142" t="e">
        <f t="shared" si="29"/>
        <v>#REF!</v>
      </c>
      <c r="P44" s="154" t="e">
        <f>SUM(P5:P42)</f>
        <v>#REF!</v>
      </c>
      <c r="Q44" s="142" t="e">
        <f t="shared" ref="Q44:Z44" si="30">SUM(Q5:Q43)</f>
        <v>#REF!</v>
      </c>
      <c r="R44" s="123" t="e">
        <f t="shared" si="30"/>
        <v>#REF!</v>
      </c>
      <c r="S44" s="142" t="e">
        <f t="shared" si="30"/>
        <v>#REF!</v>
      </c>
      <c r="T44" s="154">
        <f t="shared" si="30"/>
        <v>423</v>
      </c>
      <c r="U44" s="142" t="e">
        <f t="shared" si="30"/>
        <v>#REF!</v>
      </c>
      <c r="V44" s="154" t="e">
        <f t="shared" si="30"/>
        <v>#REF!</v>
      </c>
      <c r="W44" s="142" t="e">
        <f t="shared" si="30"/>
        <v>#REF!</v>
      </c>
      <c r="X44" s="154" t="e">
        <f t="shared" si="30"/>
        <v>#REF!</v>
      </c>
      <c r="Y44" s="142" t="e">
        <f t="shared" si="30"/>
        <v>#REF!</v>
      </c>
      <c r="Z44" s="157" t="e">
        <f t="shared" si="30"/>
        <v>#REF!</v>
      </c>
      <c r="AB44" s="34" t="e">
        <f t="shared" si="26"/>
        <v>#REF!</v>
      </c>
    </row>
    <row r="45" spans="1:30" x14ac:dyDescent="0.55000000000000004">
      <c r="A45" s="451"/>
      <c r="D45" s="451"/>
      <c r="H45" s="149"/>
      <c r="J45" s="451"/>
      <c r="L45" s="451"/>
      <c r="N45" s="149"/>
      <c r="P45" s="149"/>
      <c r="T45" s="451"/>
      <c r="V45" s="451"/>
      <c r="X45" s="451"/>
    </row>
    <row r="46" spans="1:30" s="170" customFormat="1" x14ac:dyDescent="0.55000000000000004">
      <c r="A46" s="243"/>
      <c r="C46" s="244"/>
      <c r="D46" s="243"/>
      <c r="E46" s="245"/>
      <c r="F46" s="246"/>
      <c r="G46" s="245"/>
      <c r="H46" s="243"/>
      <c r="I46" s="245"/>
      <c r="J46" s="243"/>
      <c r="K46" s="244"/>
      <c r="L46" s="243"/>
      <c r="M46" s="244"/>
      <c r="N46" s="243"/>
      <c r="O46" s="245"/>
      <c r="P46" s="243"/>
      <c r="Q46" s="244"/>
      <c r="S46" s="244"/>
      <c r="T46" s="243"/>
      <c r="U46" s="245"/>
      <c r="V46" s="243"/>
      <c r="W46" s="245"/>
      <c r="X46" s="243"/>
      <c r="Y46" s="244"/>
      <c r="Z46" s="246"/>
      <c r="AB46" s="244"/>
    </row>
    <row r="48" spans="1:30" x14ac:dyDescent="0.55000000000000004">
      <c r="A48" s="451"/>
      <c r="D48" s="451"/>
      <c r="H48" s="451"/>
      <c r="J48" s="451"/>
      <c r="L48" s="451"/>
      <c r="N48" s="451"/>
      <c r="P48" s="451"/>
      <c r="T48" s="451"/>
      <c r="V48" s="451"/>
      <c r="X48" s="149"/>
    </row>
  </sheetData>
  <mergeCells count="6">
    <mergeCell ref="S3:Z3"/>
    <mergeCell ref="A2:E2"/>
    <mergeCell ref="A3:A4"/>
    <mergeCell ref="B3:B4"/>
    <mergeCell ref="C3:J3"/>
    <mergeCell ref="K3:R3"/>
  </mergeCells>
  <pageMargins left="0.35433070866141736" right="0.19685039370078741" top="0.55118110236220474" bottom="0.51181102362204722" header="0.31496062992125984" footer="0.31496062992125984"/>
  <pageSetup paperSize="9" scale="75" orientation="landscape" blackAndWhite="1" r:id="rId1"/>
  <headerFooter>
    <oddHeader>&amp;L&amp;D &amp;T&amp;Rหน้า 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N4" sqref="N4"/>
    </sheetView>
  </sheetViews>
  <sheetFormatPr defaultColWidth="8.85546875" defaultRowHeight="24" x14ac:dyDescent="0.55000000000000004"/>
  <cols>
    <col min="1" max="1" width="6" style="117" customWidth="1"/>
    <col min="2" max="2" width="18.5703125" style="51" customWidth="1"/>
    <col min="3" max="3" width="12.85546875" style="118" customWidth="1"/>
    <col min="4" max="4" width="20.140625" style="49" customWidth="1"/>
    <col min="5" max="5" width="24.85546875" style="51" customWidth="1"/>
    <col min="6" max="16384" width="8.85546875" style="51"/>
  </cols>
  <sheetData>
    <row r="1" spans="1:10" ht="27.75" x14ac:dyDescent="0.55000000000000004">
      <c r="A1" s="685" t="s">
        <v>562</v>
      </c>
      <c r="B1" s="685"/>
      <c r="C1" s="685"/>
      <c r="D1" s="685"/>
      <c r="E1" s="106"/>
      <c r="F1" s="106"/>
      <c r="G1" s="106"/>
      <c r="H1" s="106"/>
      <c r="I1" s="106"/>
      <c r="J1" s="106"/>
    </row>
    <row r="2" spans="1:10" ht="21.75" customHeight="1" x14ac:dyDescent="0.55000000000000004">
      <c r="A2" s="686" t="s">
        <v>557</v>
      </c>
      <c r="B2" s="686"/>
      <c r="C2" s="686"/>
      <c r="D2" s="686"/>
      <c r="E2" s="106"/>
      <c r="F2" s="106"/>
      <c r="G2" s="106"/>
      <c r="H2" s="106"/>
      <c r="I2" s="106"/>
      <c r="J2" s="106"/>
    </row>
    <row r="3" spans="1:10" ht="21.75" customHeight="1" x14ac:dyDescent="0.55000000000000004">
      <c r="A3" s="442"/>
      <c r="B3" s="442" t="s">
        <v>563</v>
      </c>
      <c r="C3" s="442" t="s">
        <v>4</v>
      </c>
      <c r="D3" s="442" t="s">
        <v>560</v>
      </c>
      <c r="E3" s="106"/>
      <c r="F3" s="106"/>
      <c r="G3" s="106"/>
      <c r="H3" s="106"/>
      <c r="I3" s="106"/>
      <c r="J3" s="106"/>
    </row>
    <row r="4" spans="1:10" x14ac:dyDescent="0.55000000000000004">
      <c r="B4" s="45" t="s">
        <v>2</v>
      </c>
      <c r="C4" s="118">
        <f>+Sheet2!D44</f>
        <v>281</v>
      </c>
      <c r="D4" s="43">
        <f>+Sheet2!C44</f>
        <v>3153990500</v>
      </c>
      <c r="E4" s="450"/>
    </row>
    <row r="5" spans="1:10" x14ac:dyDescent="0.55000000000000004">
      <c r="B5" s="45" t="s">
        <v>59</v>
      </c>
      <c r="C5" s="118">
        <f>+Sheet2!L44</f>
        <v>143</v>
      </c>
      <c r="D5" s="43" t="e">
        <f>+Sheet2!K44</f>
        <v>#REF!</v>
      </c>
      <c r="E5" s="450"/>
    </row>
    <row r="6" spans="1:10" ht="24.75" thickBot="1" x14ac:dyDescent="0.6">
      <c r="B6" s="45" t="s">
        <v>42</v>
      </c>
      <c r="C6" s="131">
        <f>+C4+C5</f>
        <v>424</v>
      </c>
      <c r="D6" s="132" t="e">
        <f>SUM(D4:D5)</f>
        <v>#REF!</v>
      </c>
    </row>
    <row r="7" spans="1:10" ht="23.25" customHeight="1" thickTop="1" x14ac:dyDescent="0.55000000000000004">
      <c r="A7" s="107"/>
      <c r="B7" s="107"/>
      <c r="C7" s="184"/>
      <c r="D7" s="107"/>
      <c r="E7" s="106"/>
      <c r="F7" s="106"/>
      <c r="G7" s="106"/>
      <c r="H7" s="106"/>
      <c r="I7" s="106"/>
      <c r="J7" s="106"/>
    </row>
    <row r="8" spans="1:10" s="38" customFormat="1" x14ac:dyDescent="0.55000000000000004">
      <c r="A8" s="449" t="s">
        <v>0</v>
      </c>
      <c r="B8" s="108" t="s">
        <v>1</v>
      </c>
      <c r="C8" s="110" t="s">
        <v>4</v>
      </c>
      <c r="D8" s="110" t="s">
        <v>560</v>
      </c>
      <c r="E8" s="450"/>
      <c r="F8" s="450"/>
      <c r="G8" s="450"/>
      <c r="H8" s="450"/>
      <c r="I8" s="450"/>
      <c r="J8" s="450"/>
    </row>
    <row r="9" spans="1:10" x14ac:dyDescent="0.55000000000000004">
      <c r="A9" s="111"/>
      <c r="B9" s="161" t="s">
        <v>57</v>
      </c>
      <c r="C9" s="185">
        <f>+Sheet2!T5</f>
        <v>5</v>
      </c>
      <c r="D9" s="112">
        <f>+Sheet2!S5</f>
        <v>0</v>
      </c>
    </row>
    <row r="10" spans="1:10" x14ac:dyDescent="0.55000000000000004">
      <c r="A10" s="111">
        <v>1</v>
      </c>
      <c r="B10" s="161" t="s">
        <v>6</v>
      </c>
      <c r="C10" s="185">
        <f>+Sheet2!T20</f>
        <v>16</v>
      </c>
      <c r="D10" s="112">
        <f>+Sheet2!S20</f>
        <v>14135900</v>
      </c>
    </row>
    <row r="11" spans="1:10" x14ac:dyDescent="0.55000000000000004">
      <c r="A11" s="111">
        <f>1+A10</f>
        <v>2</v>
      </c>
      <c r="B11" s="161" t="s">
        <v>564</v>
      </c>
      <c r="C11" s="185">
        <f>+Sheet2!T21</f>
        <v>7</v>
      </c>
      <c r="D11" s="112">
        <f>+Sheet2!S21</f>
        <v>3685100</v>
      </c>
    </row>
    <row r="12" spans="1:10" x14ac:dyDescent="0.55000000000000004">
      <c r="A12" s="111">
        <f t="shared" ref="A12:A44" si="0">1+A11</f>
        <v>3</v>
      </c>
      <c r="B12" s="161" t="s">
        <v>565</v>
      </c>
      <c r="C12" s="185">
        <f>+Sheet2!T22</f>
        <v>11</v>
      </c>
      <c r="D12" s="112">
        <f>+Sheet2!S22</f>
        <v>14145400</v>
      </c>
      <c r="G12" s="97"/>
    </row>
    <row r="13" spans="1:10" x14ac:dyDescent="0.55000000000000004">
      <c r="A13" s="111">
        <f t="shared" si="0"/>
        <v>4</v>
      </c>
      <c r="B13" s="161" t="s">
        <v>566</v>
      </c>
      <c r="C13" s="185">
        <f>+Sheet2!T23</f>
        <v>6</v>
      </c>
      <c r="D13" s="112">
        <f>+Sheet2!S23</f>
        <v>14509300</v>
      </c>
      <c r="G13" s="50"/>
    </row>
    <row r="14" spans="1:10" x14ac:dyDescent="0.55000000000000004">
      <c r="A14" s="111">
        <f t="shared" si="0"/>
        <v>5</v>
      </c>
      <c r="B14" s="161" t="s">
        <v>567</v>
      </c>
      <c r="C14" s="185">
        <f>+Sheet2!T24</f>
        <v>10</v>
      </c>
      <c r="D14" s="112">
        <f>+Sheet2!S24</f>
        <v>6814300</v>
      </c>
    </row>
    <row r="15" spans="1:10" x14ac:dyDescent="0.55000000000000004">
      <c r="A15" s="111">
        <f t="shared" si="0"/>
        <v>6</v>
      </c>
      <c r="B15" s="161" t="s">
        <v>568</v>
      </c>
      <c r="C15" s="185">
        <f>+Sheet2!T25</f>
        <v>21</v>
      </c>
      <c r="D15" s="112">
        <f>+Sheet2!S25</f>
        <v>158442300</v>
      </c>
    </row>
    <row r="16" spans="1:10" x14ac:dyDescent="0.55000000000000004">
      <c r="A16" s="111">
        <f t="shared" si="0"/>
        <v>7</v>
      </c>
      <c r="B16" s="161" t="s">
        <v>569</v>
      </c>
      <c r="C16" s="185">
        <f>+Sheet2!T26</f>
        <v>17</v>
      </c>
      <c r="D16" s="112">
        <f>+Sheet2!S26</f>
        <v>131311600</v>
      </c>
    </row>
    <row r="17" spans="1:4" x14ac:dyDescent="0.55000000000000004">
      <c r="A17" s="111">
        <f t="shared" si="0"/>
        <v>8</v>
      </c>
      <c r="B17" s="161" t="s">
        <v>570</v>
      </c>
      <c r="C17" s="185">
        <f>+Sheet2!T27</f>
        <v>4</v>
      </c>
      <c r="D17" s="112">
        <f>+Sheet2!S27</f>
        <v>791200</v>
      </c>
    </row>
    <row r="18" spans="1:4" x14ac:dyDescent="0.55000000000000004">
      <c r="A18" s="111">
        <f t="shared" si="0"/>
        <v>9</v>
      </c>
      <c r="B18" s="161" t="s">
        <v>571</v>
      </c>
      <c r="C18" s="185">
        <f>+Sheet2!T28</f>
        <v>20</v>
      </c>
      <c r="D18" s="112">
        <f>+Sheet2!S28</f>
        <v>66866900</v>
      </c>
    </row>
    <row r="19" spans="1:4" x14ac:dyDescent="0.55000000000000004">
      <c r="A19" s="111">
        <f t="shared" si="0"/>
        <v>10</v>
      </c>
      <c r="B19" s="161" t="s">
        <v>572</v>
      </c>
      <c r="C19" s="185">
        <f>+Sheet2!T29</f>
        <v>10</v>
      </c>
      <c r="D19" s="112">
        <f>+Sheet2!S29</f>
        <v>31886700</v>
      </c>
    </row>
    <row r="20" spans="1:4" x14ac:dyDescent="0.55000000000000004">
      <c r="A20" s="111">
        <f t="shared" si="0"/>
        <v>11</v>
      </c>
      <c r="B20" s="161" t="s">
        <v>16</v>
      </c>
      <c r="C20" s="185">
        <f>+Sheet2!T30</f>
        <v>39</v>
      </c>
      <c r="D20" s="112">
        <f>+Sheet2!S30</f>
        <v>270272800</v>
      </c>
    </row>
    <row r="21" spans="1:4" x14ac:dyDescent="0.55000000000000004">
      <c r="A21" s="111">
        <f t="shared" si="0"/>
        <v>12</v>
      </c>
      <c r="B21" s="161" t="s">
        <v>17</v>
      </c>
      <c r="C21" s="109">
        <f>+Sheet2!T31</f>
        <v>23</v>
      </c>
      <c r="D21" s="113">
        <f>+Sheet2!S31</f>
        <v>70911300</v>
      </c>
    </row>
    <row r="22" spans="1:4" x14ac:dyDescent="0.55000000000000004">
      <c r="A22" s="111">
        <f t="shared" si="0"/>
        <v>13</v>
      </c>
      <c r="B22" s="161" t="s">
        <v>18</v>
      </c>
      <c r="C22" s="109">
        <f>+Sheet2!T33</f>
        <v>15</v>
      </c>
      <c r="D22" s="113">
        <f>+Sheet2!S33</f>
        <v>691350900</v>
      </c>
    </row>
    <row r="23" spans="1:4" x14ac:dyDescent="0.55000000000000004">
      <c r="A23" s="111">
        <f t="shared" si="0"/>
        <v>14</v>
      </c>
      <c r="B23" s="161" t="s">
        <v>19</v>
      </c>
      <c r="C23" s="109">
        <f>+Sheet2!T34</f>
        <v>7</v>
      </c>
      <c r="D23" s="113">
        <f>+Sheet2!S34</f>
        <v>289173100</v>
      </c>
    </row>
    <row r="24" spans="1:4" x14ac:dyDescent="0.55000000000000004">
      <c r="A24" s="111">
        <f t="shared" si="0"/>
        <v>15</v>
      </c>
      <c r="B24" s="161" t="s">
        <v>20</v>
      </c>
      <c r="C24" s="109">
        <f>+Sheet2!T35</f>
        <v>8</v>
      </c>
      <c r="D24" s="113">
        <f>+Sheet2!S35</f>
        <v>200790800</v>
      </c>
    </row>
    <row r="25" spans="1:4" x14ac:dyDescent="0.55000000000000004">
      <c r="A25" s="111">
        <f t="shared" si="0"/>
        <v>16</v>
      </c>
      <c r="B25" s="161" t="s">
        <v>21</v>
      </c>
      <c r="C25" s="109">
        <f>+Sheet2!T36</f>
        <v>67</v>
      </c>
      <c r="D25" s="113">
        <f>+Sheet2!S36</f>
        <v>257199400</v>
      </c>
    </row>
    <row r="26" spans="1:4" x14ac:dyDescent="0.55000000000000004">
      <c r="A26" s="111">
        <f t="shared" si="0"/>
        <v>17</v>
      </c>
      <c r="B26" s="161" t="s">
        <v>32</v>
      </c>
      <c r="C26" s="109">
        <f>+Sheet2!T16</f>
        <v>9</v>
      </c>
      <c r="D26" s="113">
        <f>+Sheet2!S16</f>
        <v>8391800</v>
      </c>
    </row>
    <row r="27" spans="1:4" x14ac:dyDescent="0.55000000000000004">
      <c r="A27" s="111">
        <f t="shared" si="0"/>
        <v>18</v>
      </c>
      <c r="B27" s="161" t="s">
        <v>573</v>
      </c>
      <c r="C27" s="109">
        <f>+Sheet2!T18</f>
        <v>1</v>
      </c>
      <c r="D27" s="113">
        <f>+Sheet2!S18</f>
        <v>64000</v>
      </c>
    </row>
    <row r="28" spans="1:4" x14ac:dyDescent="0.55000000000000004">
      <c r="A28" s="111">
        <f t="shared" si="0"/>
        <v>19</v>
      </c>
      <c r="B28" s="161" t="s">
        <v>23</v>
      </c>
      <c r="C28" s="109">
        <f>+Sheet2!T38</f>
        <v>10</v>
      </c>
      <c r="D28" s="113">
        <f>+Sheet2!S38</f>
        <v>66222600</v>
      </c>
    </row>
    <row r="29" spans="1:4" x14ac:dyDescent="0.55000000000000004">
      <c r="A29" s="111">
        <f t="shared" si="0"/>
        <v>20</v>
      </c>
      <c r="B29" s="161" t="s">
        <v>24</v>
      </c>
      <c r="C29" s="109">
        <f>+Sheet2!T39</f>
        <v>12</v>
      </c>
      <c r="D29" s="113">
        <f>+Sheet2!S39</f>
        <v>237581100</v>
      </c>
    </row>
    <row r="30" spans="1:4" x14ac:dyDescent="0.55000000000000004">
      <c r="A30" s="111">
        <f t="shared" si="0"/>
        <v>21</v>
      </c>
      <c r="B30" s="177" t="s">
        <v>25</v>
      </c>
      <c r="C30" s="109">
        <f>+Sheet2!T40</f>
        <v>21</v>
      </c>
      <c r="D30" s="113">
        <f>+Sheet2!S40</f>
        <v>303068300</v>
      </c>
    </row>
    <row r="31" spans="1:4" x14ac:dyDescent="0.55000000000000004">
      <c r="A31" s="111">
        <f t="shared" si="0"/>
        <v>22</v>
      </c>
      <c r="B31" s="161" t="s">
        <v>27</v>
      </c>
      <c r="C31" s="109">
        <f>+Sheet2!T42</f>
        <v>5</v>
      </c>
      <c r="D31" s="113">
        <f>+Sheet2!S42</f>
        <v>1173500</v>
      </c>
    </row>
    <row r="32" spans="1:4" x14ac:dyDescent="0.55000000000000004">
      <c r="A32" s="111">
        <f t="shared" si="0"/>
        <v>23</v>
      </c>
      <c r="B32" s="161" t="s">
        <v>26</v>
      </c>
      <c r="C32" s="109">
        <f>+Sheet2!T41</f>
        <v>6</v>
      </c>
      <c r="D32" s="113">
        <f>+Sheet2!S41</f>
        <v>11018500</v>
      </c>
    </row>
    <row r="33" spans="1:4" x14ac:dyDescent="0.55000000000000004">
      <c r="A33" s="111">
        <f t="shared" si="0"/>
        <v>24</v>
      </c>
      <c r="B33" s="161" t="s">
        <v>33</v>
      </c>
      <c r="C33" s="109">
        <f>+Sheet2!T17</f>
        <v>0</v>
      </c>
      <c r="D33" s="113">
        <f>+Sheet2!S17</f>
        <v>0</v>
      </c>
    </row>
    <row r="34" spans="1:4" x14ac:dyDescent="0.55000000000000004">
      <c r="A34" s="111">
        <f t="shared" si="0"/>
        <v>25</v>
      </c>
      <c r="B34" s="177" t="s">
        <v>35</v>
      </c>
      <c r="C34" s="109">
        <f>+Sheet2!T19</f>
        <v>0</v>
      </c>
      <c r="D34" s="113">
        <f>+Sheet2!S19</f>
        <v>0</v>
      </c>
    </row>
    <row r="35" spans="1:4" x14ac:dyDescent="0.55000000000000004">
      <c r="A35" s="111">
        <f t="shared" si="0"/>
        <v>26</v>
      </c>
      <c r="B35" s="161" t="s">
        <v>30</v>
      </c>
      <c r="C35" s="109">
        <f>+Sheet2!T14</f>
        <v>3</v>
      </c>
      <c r="D35" s="113">
        <f>+Sheet2!S14</f>
        <v>16258000</v>
      </c>
    </row>
    <row r="36" spans="1:4" x14ac:dyDescent="0.55000000000000004">
      <c r="A36" s="111">
        <f t="shared" si="0"/>
        <v>27</v>
      </c>
      <c r="B36" s="161" t="s">
        <v>36</v>
      </c>
      <c r="C36" s="109">
        <f>+Sheet2!T6</f>
        <v>0</v>
      </c>
      <c r="D36" s="113">
        <f>+Sheet2!S6</f>
        <v>0</v>
      </c>
    </row>
    <row r="37" spans="1:4" x14ac:dyDescent="0.55000000000000004">
      <c r="A37" s="111">
        <f t="shared" si="0"/>
        <v>28</v>
      </c>
      <c r="B37" s="161" t="s">
        <v>29</v>
      </c>
      <c r="C37" s="109">
        <f>+Sheet2!T13</f>
        <v>38</v>
      </c>
      <c r="D37" s="113">
        <f>+สกบ.!F55</f>
        <v>1010679500</v>
      </c>
    </row>
    <row r="38" spans="1:4" x14ac:dyDescent="0.55000000000000004">
      <c r="A38" s="111">
        <f t="shared" si="0"/>
        <v>29</v>
      </c>
      <c r="B38" s="161" t="s">
        <v>28</v>
      </c>
      <c r="C38" s="109">
        <f>+Sheet2!T12</f>
        <v>2</v>
      </c>
      <c r="D38" s="113">
        <f>+Sheet2!S12</f>
        <v>1025000</v>
      </c>
    </row>
    <row r="39" spans="1:4" x14ac:dyDescent="0.55000000000000004">
      <c r="A39" s="111">
        <f t="shared" si="0"/>
        <v>30</v>
      </c>
      <c r="B39" s="161" t="s">
        <v>454</v>
      </c>
      <c r="C39" s="109">
        <f>+Sheet2!T10</f>
        <v>14</v>
      </c>
      <c r="D39" s="113">
        <f>+Sheet2!S10</f>
        <v>881837800</v>
      </c>
    </row>
    <row r="40" spans="1:4" x14ac:dyDescent="0.55000000000000004">
      <c r="A40" s="111">
        <f t="shared" si="0"/>
        <v>31</v>
      </c>
      <c r="B40" s="161" t="s">
        <v>41</v>
      </c>
      <c r="C40" s="109">
        <f>+Sheet2!T11</f>
        <v>0</v>
      </c>
      <c r="D40" s="113">
        <f>+Sheet2!S11</f>
        <v>0</v>
      </c>
    </row>
    <row r="41" spans="1:4" x14ac:dyDescent="0.55000000000000004">
      <c r="A41" s="111">
        <f t="shared" si="0"/>
        <v>32</v>
      </c>
      <c r="B41" s="161" t="s">
        <v>37</v>
      </c>
      <c r="C41" s="109">
        <f>+Sheet2!T7</f>
        <v>9</v>
      </c>
      <c r="D41" s="113">
        <f>+Sheet2!S7</f>
        <v>983900</v>
      </c>
    </row>
    <row r="42" spans="1:4" x14ac:dyDescent="0.55000000000000004">
      <c r="A42" s="111">
        <f t="shared" si="0"/>
        <v>33</v>
      </c>
      <c r="B42" s="161" t="s">
        <v>38</v>
      </c>
      <c r="C42" s="109">
        <f>+Sheet2!T8</f>
        <v>7</v>
      </c>
      <c r="D42" s="113">
        <f>+Sheet2!S8</f>
        <v>3742700</v>
      </c>
    </row>
    <row r="43" spans="1:4" x14ac:dyDescent="0.55000000000000004">
      <c r="A43" s="111">
        <f t="shared" si="0"/>
        <v>34</v>
      </c>
      <c r="B43" s="161" t="s">
        <v>253</v>
      </c>
      <c r="C43" s="109">
        <f>+Sheet2!T32</f>
        <v>0</v>
      </c>
      <c r="D43" s="113">
        <f>+Sheet2!S32</f>
        <v>0</v>
      </c>
    </row>
    <row r="44" spans="1:4" x14ac:dyDescent="0.55000000000000004">
      <c r="A44" s="111">
        <f t="shared" si="0"/>
        <v>35</v>
      </c>
      <c r="B44" s="161" t="s">
        <v>31</v>
      </c>
      <c r="C44" s="109">
        <f>+Sheet2!T15</f>
        <v>0</v>
      </c>
      <c r="D44" s="113">
        <f>+Sheet2!S15</f>
        <v>0</v>
      </c>
    </row>
    <row r="45" spans="1:4" x14ac:dyDescent="0.55000000000000004">
      <c r="A45" s="111"/>
      <c r="B45" s="161"/>
      <c r="C45" s="109"/>
      <c r="D45" s="113"/>
    </row>
    <row r="46" spans="1:4" s="45" customFormat="1" x14ac:dyDescent="0.55000000000000004">
      <c r="A46" s="449"/>
      <c r="B46" s="449" t="s">
        <v>574</v>
      </c>
      <c r="C46" s="109">
        <f>SUM(C9:C45)</f>
        <v>423</v>
      </c>
      <c r="D46" s="109">
        <f>SUM(D9:D45)</f>
        <v>4764333700</v>
      </c>
    </row>
    <row r="47" spans="1:4" s="45" customFormat="1" x14ac:dyDescent="0.55000000000000004">
      <c r="A47" s="114"/>
      <c r="B47" s="114"/>
      <c r="C47" s="115"/>
      <c r="D47" s="116"/>
    </row>
    <row r="48" spans="1:4" x14ac:dyDescent="0.55000000000000004">
      <c r="C48" s="118">
        <f>+C46-C6</f>
        <v>-1</v>
      </c>
      <c r="D48" s="49" t="e">
        <f>+D46-D6</f>
        <v>#REF!</v>
      </c>
    </row>
  </sheetData>
  <mergeCells count="2">
    <mergeCell ref="A1:D1"/>
    <mergeCell ref="A2:D2"/>
  </mergeCells>
  <printOptions horizontalCentered="1"/>
  <pageMargins left="0.70866141732283472" right="0.70866141732283472" top="0.51181102362204722" bottom="1.4173228346456694" header="0.31496062992125984" footer="0.86614173228346458"/>
  <pageSetup paperSize="9" orientation="portrait" r:id="rId1"/>
  <headerFooter>
    <oddHeader>&amp;L&amp;D &amp;T&amp;Rหน้า 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N4" sqref="N4"/>
    </sheetView>
  </sheetViews>
  <sheetFormatPr defaultRowHeight="12.75" x14ac:dyDescent="0.2"/>
  <cols>
    <col min="1" max="1" width="6.85546875" customWidth="1"/>
    <col min="2" max="2" width="14.85546875" customWidth="1"/>
    <col min="3" max="6" width="17.85546875" customWidth="1"/>
  </cols>
  <sheetData>
    <row r="1" spans="1:6" ht="27.75" x14ac:dyDescent="0.2">
      <c r="A1" s="685" t="s">
        <v>575</v>
      </c>
      <c r="B1" s="685"/>
      <c r="C1" s="685"/>
      <c r="D1" s="685"/>
      <c r="E1" s="685"/>
      <c r="F1" s="685"/>
    </row>
    <row r="2" spans="1:6" ht="27.75" x14ac:dyDescent="0.2">
      <c r="A2" s="448"/>
      <c r="B2" s="448"/>
      <c r="C2" s="448"/>
      <c r="D2" s="448"/>
    </row>
    <row r="3" spans="1:6" ht="27.75" x14ac:dyDescent="0.2">
      <c r="A3" s="448"/>
      <c r="B3" s="448"/>
      <c r="C3" s="442" t="s">
        <v>563</v>
      </c>
      <c r="D3" s="442" t="s">
        <v>4</v>
      </c>
      <c r="E3" s="442" t="s">
        <v>560</v>
      </c>
    </row>
    <row r="4" spans="1:6" ht="27.75" x14ac:dyDescent="0.55000000000000004">
      <c r="A4" s="448"/>
      <c r="B4" s="448"/>
      <c r="C4" s="45" t="s">
        <v>2</v>
      </c>
      <c r="D4" s="118">
        <f>C47</f>
        <v>275</v>
      </c>
      <c r="E4" s="43">
        <f>D47</f>
        <v>3156045500</v>
      </c>
    </row>
    <row r="5" spans="1:6" ht="27.75" x14ac:dyDescent="0.55000000000000004">
      <c r="A5" s="448"/>
      <c r="B5" s="448"/>
      <c r="C5" s="45" t="s">
        <v>59</v>
      </c>
      <c r="D5" s="118">
        <f>E47</f>
        <v>141</v>
      </c>
      <c r="E5" s="43">
        <f>F47</f>
        <v>1613643200</v>
      </c>
    </row>
    <row r="6" spans="1:6" ht="28.5" thickBot="1" x14ac:dyDescent="0.6">
      <c r="A6" s="442"/>
      <c r="B6" s="442"/>
      <c r="C6" s="45" t="s">
        <v>42</v>
      </c>
      <c r="D6" s="131">
        <f>+D4+D5</f>
        <v>416</v>
      </c>
      <c r="E6" s="132">
        <f>SUM(E4:E5)</f>
        <v>4769688700</v>
      </c>
    </row>
    <row r="7" spans="1:6" ht="28.5" thickTop="1" x14ac:dyDescent="0.55000000000000004">
      <c r="A7" s="442"/>
      <c r="B7" s="442"/>
      <c r="C7" s="45"/>
      <c r="D7" s="312"/>
      <c r="E7" s="313"/>
    </row>
    <row r="8" spans="1:6" ht="24" x14ac:dyDescent="0.55000000000000004">
      <c r="A8" s="688" t="s">
        <v>0</v>
      </c>
      <c r="B8" s="688" t="s">
        <v>1</v>
      </c>
      <c r="C8" s="687" t="s">
        <v>2</v>
      </c>
      <c r="D8" s="687"/>
      <c r="E8" s="687" t="s">
        <v>3</v>
      </c>
      <c r="F8" s="687"/>
    </row>
    <row r="9" spans="1:6" ht="24" x14ac:dyDescent="0.55000000000000004">
      <c r="A9" s="688"/>
      <c r="B9" s="688"/>
      <c r="C9" s="440" t="s">
        <v>4</v>
      </c>
      <c r="D9" s="440" t="s">
        <v>5</v>
      </c>
      <c r="E9" s="440" t="s">
        <v>4</v>
      </c>
      <c r="F9" s="440" t="s">
        <v>5</v>
      </c>
    </row>
    <row r="10" spans="1:6" ht="24" hidden="1" x14ac:dyDescent="0.55000000000000004">
      <c r="A10" s="104">
        <v>1</v>
      </c>
      <c r="B10" s="103" t="s">
        <v>57</v>
      </c>
      <c r="C10" s="307" t="s">
        <v>70</v>
      </c>
      <c r="D10" s="308">
        <f>'ภ.5 (อื่น) '!F15</f>
        <v>2055000</v>
      </c>
      <c r="E10" s="307" t="s">
        <v>70</v>
      </c>
      <c r="F10" s="309" t="s">
        <v>70</v>
      </c>
    </row>
    <row r="11" spans="1:6" ht="24" x14ac:dyDescent="0.55000000000000004">
      <c r="A11" s="104">
        <v>1</v>
      </c>
      <c r="B11" s="103" t="s">
        <v>6</v>
      </c>
      <c r="C11" s="307">
        <f>บช.น.!A27</f>
        <v>15</v>
      </c>
      <c r="D11" s="308">
        <f>บช.น.!F27</f>
        <v>14085900</v>
      </c>
      <c r="E11" s="307">
        <f>บช.น.!A31</f>
        <v>1</v>
      </c>
      <c r="F11" s="308">
        <f>บช.น.!F31</f>
        <v>50000</v>
      </c>
    </row>
    <row r="12" spans="1:6" ht="24" x14ac:dyDescent="0.55000000000000004">
      <c r="A12" s="104">
        <v>2</v>
      </c>
      <c r="B12" s="103" t="s">
        <v>7</v>
      </c>
      <c r="C12" s="307">
        <f>ภ.1!A18</f>
        <v>6</v>
      </c>
      <c r="D12" s="308">
        <f>ภ.1!F18</f>
        <v>3235100</v>
      </c>
      <c r="E12" s="307">
        <f>ภ.1!A22</f>
        <v>1</v>
      </c>
      <c r="F12" s="308">
        <f>ภ.1!F22</f>
        <v>450000</v>
      </c>
    </row>
    <row r="13" spans="1:6" ht="24" x14ac:dyDescent="0.55000000000000004">
      <c r="A13" s="104">
        <v>3</v>
      </c>
      <c r="B13" s="103" t="s">
        <v>8</v>
      </c>
      <c r="C13" s="307">
        <f>ภ.2!A23</f>
        <v>8</v>
      </c>
      <c r="D13" s="308">
        <f>ภ.2!F23</f>
        <v>3636400</v>
      </c>
      <c r="E13" s="307">
        <f>ภ.2!A29</f>
        <v>3</v>
      </c>
      <c r="F13" s="308">
        <f>ภ.2!F29</f>
        <v>10509000</v>
      </c>
    </row>
    <row r="14" spans="1:6" ht="24" x14ac:dyDescent="0.55000000000000004">
      <c r="A14" s="104">
        <v>4</v>
      </c>
      <c r="B14" s="103" t="s">
        <v>9</v>
      </c>
      <c r="C14" s="307">
        <f>+ภ.3!A15</f>
        <v>3</v>
      </c>
      <c r="D14" s="326">
        <f>+ภ.3!F15</f>
        <v>391200</v>
      </c>
      <c r="E14" s="307">
        <f>ภ.3!A21</f>
        <v>3</v>
      </c>
      <c r="F14" s="308">
        <f>ภ.3!F21</f>
        <v>14118100</v>
      </c>
    </row>
    <row r="15" spans="1:6" ht="24" x14ac:dyDescent="0.55000000000000004">
      <c r="A15" s="104">
        <v>5</v>
      </c>
      <c r="B15" s="103" t="s">
        <v>10</v>
      </c>
      <c r="C15" s="307">
        <f>ภ.4!A21</f>
        <v>9</v>
      </c>
      <c r="D15" s="308">
        <f>ภ.4!F21</f>
        <v>6214300</v>
      </c>
      <c r="E15" s="307">
        <f>ภ.4!A25</f>
        <v>1</v>
      </c>
      <c r="F15" s="308">
        <f>ภ.4!F25</f>
        <v>600000</v>
      </c>
    </row>
    <row r="16" spans="1:6" ht="24" x14ac:dyDescent="0.55000000000000004">
      <c r="A16" s="104">
        <v>6</v>
      </c>
      <c r="B16" s="103" t="s">
        <v>11</v>
      </c>
      <c r="C16" s="307">
        <f>+ภ.5!A28</f>
        <v>16</v>
      </c>
      <c r="D16" s="326">
        <f>+ภ.5!F28</f>
        <v>28994100</v>
      </c>
      <c r="E16" s="307">
        <f>ภ.5!A36</f>
        <v>5</v>
      </c>
      <c r="F16" s="308">
        <f>ภ.5!F36</f>
        <v>129448200</v>
      </c>
    </row>
    <row r="17" spans="1:6" ht="24" x14ac:dyDescent="0.55000000000000004">
      <c r="A17" s="104">
        <v>7</v>
      </c>
      <c r="B17" s="103" t="s">
        <v>12</v>
      </c>
      <c r="C17" s="307">
        <f>ภ.6!A17</f>
        <v>5</v>
      </c>
      <c r="D17" s="308">
        <f>ภ.6!F17</f>
        <v>13604100</v>
      </c>
      <c r="E17" s="307">
        <f>ภ.6!A33</f>
        <v>12</v>
      </c>
      <c r="F17" s="308">
        <f>ภ.6!F33</f>
        <v>117707500</v>
      </c>
    </row>
    <row r="18" spans="1:6" ht="24" x14ac:dyDescent="0.55000000000000004">
      <c r="A18" s="104">
        <v>8</v>
      </c>
      <c r="B18" s="103" t="s">
        <v>13</v>
      </c>
      <c r="C18" s="307" t="s">
        <v>70</v>
      </c>
      <c r="D18" s="326">
        <f>ภ.7!F15</f>
        <v>391200</v>
      </c>
      <c r="E18" s="307">
        <f>ภ.7!A19</f>
        <v>1</v>
      </c>
      <c r="F18" s="308">
        <f>ภ.7!F19</f>
        <v>400000</v>
      </c>
    </row>
    <row r="19" spans="1:6" ht="24" x14ac:dyDescent="0.55000000000000004">
      <c r="A19" s="104">
        <v>9</v>
      </c>
      <c r="B19" s="103" t="s">
        <v>14</v>
      </c>
      <c r="C19" s="307">
        <f>+ภ.8!A27</f>
        <v>15</v>
      </c>
      <c r="D19" s="326">
        <f>+ภ.8!F27</f>
        <v>8495200</v>
      </c>
      <c r="E19" s="307">
        <f>ภ.8!A35</f>
        <v>5</v>
      </c>
      <c r="F19" s="308">
        <f>ภ.8!F35</f>
        <v>58371700</v>
      </c>
    </row>
    <row r="20" spans="1:6" ht="24" x14ac:dyDescent="0.55000000000000004">
      <c r="A20" s="104">
        <v>10</v>
      </c>
      <c r="B20" s="103" t="s">
        <v>15</v>
      </c>
      <c r="C20" s="307">
        <f>ภ.9!A19</f>
        <v>7</v>
      </c>
      <c r="D20" s="308">
        <f>ภ.9!F19</f>
        <v>6175600</v>
      </c>
      <c r="E20" s="307">
        <f>ภ.9!A25</f>
        <v>3</v>
      </c>
      <c r="F20" s="308">
        <f>ภ.9!F25</f>
        <v>25711100</v>
      </c>
    </row>
    <row r="21" spans="1:6" ht="24" x14ac:dyDescent="0.55000000000000004">
      <c r="A21" s="104">
        <v>11</v>
      </c>
      <c r="B21" s="103" t="s">
        <v>16</v>
      </c>
      <c r="C21" s="307">
        <f>ศชต.!A27</f>
        <v>15</v>
      </c>
      <c r="D21" s="308">
        <f>ศชต.!F27</f>
        <v>54292700</v>
      </c>
      <c r="E21" s="307">
        <f>ศชต.!A54</f>
        <v>24</v>
      </c>
      <c r="F21" s="308">
        <f>ศชต.!F54</f>
        <v>215980100</v>
      </c>
    </row>
    <row r="22" spans="1:6" ht="24" x14ac:dyDescent="0.55000000000000004">
      <c r="A22" s="104">
        <v>12</v>
      </c>
      <c r="B22" s="103" t="s">
        <v>17</v>
      </c>
      <c r="C22" s="307">
        <f>บช.ก.!A34</f>
        <v>22</v>
      </c>
      <c r="D22" s="308">
        <f>บช.ก.!F34</f>
        <v>62094300</v>
      </c>
      <c r="E22" s="307">
        <f>บช.ก.!A38</f>
        <v>1</v>
      </c>
      <c r="F22" s="308">
        <f>บช.ก.!F38</f>
        <v>8817000</v>
      </c>
    </row>
    <row r="23" spans="1:6" ht="24" x14ac:dyDescent="0.55000000000000004">
      <c r="A23" s="104">
        <v>13</v>
      </c>
      <c r="B23" s="306" t="s">
        <v>18</v>
      </c>
      <c r="C23" s="307">
        <f>บช.ปส.!A28</f>
        <v>15</v>
      </c>
      <c r="D23" s="308">
        <f>บช.ปส.!F28</f>
        <v>691350900</v>
      </c>
      <c r="E23" s="309" t="s">
        <v>70</v>
      </c>
      <c r="F23" s="325" t="s">
        <v>70</v>
      </c>
    </row>
    <row r="24" spans="1:6" ht="24" x14ac:dyDescent="0.55000000000000004">
      <c r="A24" s="104">
        <v>14</v>
      </c>
      <c r="B24" s="103" t="s">
        <v>19</v>
      </c>
      <c r="C24" s="307">
        <f>บช.ส.!A16</f>
        <v>4</v>
      </c>
      <c r="D24" s="308">
        <f>บช.ส.!F16</f>
        <v>226701000</v>
      </c>
      <c r="E24" s="307">
        <f>บช.ส.!A22</f>
        <v>3</v>
      </c>
      <c r="F24" s="308">
        <f>บช.ส.!F22</f>
        <v>62472100</v>
      </c>
    </row>
    <row r="25" spans="1:6" ht="24" x14ac:dyDescent="0.55000000000000004">
      <c r="A25" s="104">
        <v>15</v>
      </c>
      <c r="B25" s="103" t="s">
        <v>20</v>
      </c>
      <c r="C25" s="307" t="s">
        <v>70</v>
      </c>
      <c r="D25" s="308">
        <f>สตม.!F22</f>
        <v>0</v>
      </c>
      <c r="E25" s="307">
        <f>สตม.!A33</f>
        <v>8</v>
      </c>
      <c r="F25" s="308">
        <f>สตม.!F33</f>
        <v>200790800</v>
      </c>
    </row>
    <row r="26" spans="1:6" ht="24" x14ac:dyDescent="0.55000000000000004">
      <c r="A26" s="104">
        <v>16</v>
      </c>
      <c r="B26" s="103" t="s">
        <v>21</v>
      </c>
      <c r="C26" s="307">
        <f>บช.ตชด.!A38</f>
        <v>26</v>
      </c>
      <c r="D26" s="308">
        <f>บช.ตชด.!F38</f>
        <v>74186000</v>
      </c>
      <c r="E26" s="307">
        <f>บช.ตชด.!A82</f>
        <v>41</v>
      </c>
      <c r="F26" s="308">
        <f>บช.ตชด.!F82</f>
        <v>183013400</v>
      </c>
    </row>
    <row r="27" spans="1:6" ht="24" x14ac:dyDescent="0.55000000000000004">
      <c r="A27" s="104">
        <v>17</v>
      </c>
      <c r="B27" s="103" t="s">
        <v>22</v>
      </c>
      <c r="C27" s="307">
        <f>สง.นรป.!A13</f>
        <v>1</v>
      </c>
      <c r="D27" s="308">
        <f>สง.นรป.!F13</f>
        <v>3300000</v>
      </c>
      <c r="E27" s="309" t="s">
        <v>70</v>
      </c>
      <c r="F27" s="327" t="s">
        <v>70</v>
      </c>
    </row>
    <row r="28" spans="1:6" ht="24" x14ac:dyDescent="0.55000000000000004">
      <c r="A28" s="104">
        <v>18</v>
      </c>
      <c r="B28" s="103" t="s">
        <v>23</v>
      </c>
      <c r="C28" s="307">
        <f>สพฐ.ตร.!A19</f>
        <v>7</v>
      </c>
      <c r="D28" s="308">
        <f>สพฐ.ตร.!F19</f>
        <v>27022000</v>
      </c>
      <c r="E28" s="307">
        <f>สพฐ.ตร.!A25</f>
        <v>3</v>
      </c>
      <c r="F28" s="308">
        <f>สพฐ.ตร.!F25</f>
        <v>39200600</v>
      </c>
    </row>
    <row r="29" spans="1:6" ht="24" x14ac:dyDescent="0.55000000000000004">
      <c r="A29" s="104">
        <v>19</v>
      </c>
      <c r="B29" s="103" t="s">
        <v>24</v>
      </c>
      <c r="C29" s="307">
        <f>สทส.!A22</f>
        <v>10</v>
      </c>
      <c r="D29" s="308">
        <f>สทส.!F22</f>
        <v>208107900</v>
      </c>
      <c r="E29" s="307">
        <f>สทส.!A27</f>
        <v>2</v>
      </c>
      <c r="F29" s="308">
        <f>สทส.!F27</f>
        <v>29473200</v>
      </c>
    </row>
    <row r="30" spans="1:6" ht="24" x14ac:dyDescent="0.55000000000000004">
      <c r="A30" s="104">
        <v>20</v>
      </c>
      <c r="B30" s="103" t="s">
        <v>25</v>
      </c>
      <c r="C30" s="307">
        <f>บช.ศ.!A25</f>
        <v>13</v>
      </c>
      <c r="D30" s="308">
        <f>บช.ศ.!F25</f>
        <v>50666300</v>
      </c>
      <c r="E30" s="307">
        <f>บช.ศ.!A37</f>
        <v>8</v>
      </c>
      <c r="F30" s="308">
        <f>บช.ศ.!F37</f>
        <v>252402000</v>
      </c>
    </row>
    <row r="31" spans="1:6" ht="24" x14ac:dyDescent="0.55000000000000004">
      <c r="A31" s="104">
        <v>21</v>
      </c>
      <c r="B31" s="103" t="s">
        <v>26</v>
      </c>
      <c r="C31" s="307">
        <f>รร.นรต.!A18</f>
        <v>6</v>
      </c>
      <c r="D31" s="308">
        <f>รร.นรต.!F18</f>
        <v>11018500</v>
      </c>
      <c r="E31" s="307">
        <f>+รร.นรต.!A22</f>
        <v>0</v>
      </c>
      <c r="F31" s="326">
        <f>+รร.นรต.!F22</f>
        <v>0</v>
      </c>
    </row>
    <row r="32" spans="1:6" ht="24" x14ac:dyDescent="0.55000000000000004">
      <c r="A32" s="104">
        <v>22</v>
      </c>
      <c r="B32" s="103" t="s">
        <v>27</v>
      </c>
      <c r="C32" s="307">
        <f>รพ.ตร.!A17</f>
        <v>5</v>
      </c>
      <c r="D32" s="308">
        <f>รพ.ตร.!F17</f>
        <v>1173500</v>
      </c>
      <c r="E32" s="307">
        <f>+รพ.ตร.!A21</f>
        <v>0</v>
      </c>
      <c r="F32" s="315">
        <f>รพ.ตร.!F21</f>
        <v>0</v>
      </c>
    </row>
    <row r="33" spans="1:6" ht="24" x14ac:dyDescent="0.55000000000000004">
      <c r="A33" s="104">
        <v>23</v>
      </c>
      <c r="B33" s="103" t="s">
        <v>28</v>
      </c>
      <c r="C33" s="307">
        <f>สยศ.ตร.!A19</f>
        <v>2</v>
      </c>
      <c r="D33" s="308">
        <f>สยศ.ตร.!F14</f>
        <v>1025000</v>
      </c>
      <c r="E33" s="309" t="s">
        <v>70</v>
      </c>
      <c r="F33" s="327" t="s">
        <v>70</v>
      </c>
    </row>
    <row r="34" spans="1:6" ht="24" x14ac:dyDescent="0.55000000000000004">
      <c r="A34" s="104">
        <v>24</v>
      </c>
      <c r="B34" s="103" t="s">
        <v>29</v>
      </c>
      <c r="C34" s="307">
        <f>สกบ.!A44</f>
        <v>31</v>
      </c>
      <c r="D34" s="308">
        <f>สกบ.!F44</f>
        <v>809073900</v>
      </c>
      <c r="E34" s="307">
        <f>สกบ.!A54</f>
        <v>7</v>
      </c>
      <c r="F34" s="308">
        <f>สกบ.!F54</f>
        <v>201605600</v>
      </c>
    </row>
    <row r="35" spans="1:6" ht="24" x14ac:dyDescent="0.55000000000000004">
      <c r="A35" s="104">
        <v>25</v>
      </c>
      <c r="B35" s="103" t="s">
        <v>30</v>
      </c>
      <c r="C35" s="307">
        <f>สกพ.!A12</f>
        <v>0</v>
      </c>
      <c r="D35" s="308">
        <f>สกพ.!F12</f>
        <v>0</v>
      </c>
      <c r="E35" s="307">
        <f>สกพ.!A18</f>
        <v>3</v>
      </c>
      <c r="F35" s="308">
        <f>สกพ.!F18</f>
        <v>16258000</v>
      </c>
    </row>
    <row r="36" spans="1:6" ht="24" x14ac:dyDescent="0.55000000000000004">
      <c r="A36" s="104">
        <v>26</v>
      </c>
      <c r="B36" s="103" t="s">
        <v>31</v>
      </c>
      <c r="C36" s="307">
        <f>+สงป.!A13</f>
        <v>0</v>
      </c>
      <c r="D36" s="308">
        <f>สงป.!F13</f>
        <v>0</v>
      </c>
      <c r="E36" s="309" t="s">
        <v>70</v>
      </c>
      <c r="F36" s="327" t="s">
        <v>70</v>
      </c>
    </row>
    <row r="37" spans="1:6" ht="24" x14ac:dyDescent="0.55000000000000004">
      <c r="A37" s="104">
        <v>27</v>
      </c>
      <c r="B37" s="103" t="s">
        <v>32</v>
      </c>
      <c r="C37" s="307">
        <f>กมค.!A19</f>
        <v>7</v>
      </c>
      <c r="D37" s="308">
        <f>กมค.!F19</f>
        <v>1381800</v>
      </c>
      <c r="E37" s="307">
        <f>กมค.!A24</f>
        <v>2</v>
      </c>
      <c r="F37" s="308">
        <f>กมค.!F24</f>
        <v>7010000</v>
      </c>
    </row>
    <row r="38" spans="1:6" ht="24" x14ac:dyDescent="0.55000000000000004">
      <c r="A38" s="104">
        <v>28</v>
      </c>
      <c r="B38" s="103" t="s">
        <v>33</v>
      </c>
      <c r="C38" s="307">
        <f>+สง.ก.ตร.!A16</f>
        <v>0</v>
      </c>
      <c r="D38" s="308">
        <f>สง.ก.ตร.!F16</f>
        <v>0</v>
      </c>
      <c r="E38" s="309" t="s">
        <v>70</v>
      </c>
      <c r="F38" s="327" t="s">
        <v>70</v>
      </c>
    </row>
    <row r="39" spans="1:6" ht="24" x14ac:dyDescent="0.55000000000000004">
      <c r="A39" s="104">
        <v>29</v>
      </c>
      <c r="B39" s="103" t="s">
        <v>34</v>
      </c>
      <c r="C39" s="307">
        <f>จต.!A13</f>
        <v>1</v>
      </c>
      <c r="D39" s="308">
        <f>จต.!F13</f>
        <v>64000</v>
      </c>
      <c r="E39" s="309" t="s">
        <v>70</v>
      </c>
      <c r="F39" s="327" t="s">
        <v>70</v>
      </c>
    </row>
    <row r="40" spans="1:6" ht="24" x14ac:dyDescent="0.55000000000000004">
      <c r="A40" s="104">
        <v>30</v>
      </c>
      <c r="B40" s="103" t="s">
        <v>35</v>
      </c>
      <c r="C40" s="307" t="s">
        <v>70</v>
      </c>
      <c r="D40" s="325">
        <f>สตส.!F13</f>
        <v>0</v>
      </c>
      <c r="E40" s="309" t="s">
        <v>70</v>
      </c>
      <c r="F40" s="327" t="s">
        <v>70</v>
      </c>
    </row>
    <row r="41" spans="1:6" ht="24" x14ac:dyDescent="0.55000000000000004">
      <c r="A41" s="104">
        <v>31</v>
      </c>
      <c r="B41" s="103" t="s">
        <v>36</v>
      </c>
      <c r="C41" s="307">
        <f>+สลก.ตร.!A19</f>
        <v>0</v>
      </c>
      <c r="D41" s="326">
        <f>+สลก.ตร.!F19</f>
        <v>0</v>
      </c>
      <c r="E41" s="309" t="s">
        <v>70</v>
      </c>
      <c r="F41" s="327" t="s">
        <v>70</v>
      </c>
    </row>
    <row r="42" spans="1:6" ht="24" x14ac:dyDescent="0.55000000000000004">
      <c r="A42" s="104">
        <v>32</v>
      </c>
      <c r="B42" s="103" t="s">
        <v>37</v>
      </c>
      <c r="C42" s="307">
        <f>+ตท.!A21</f>
        <v>9</v>
      </c>
      <c r="D42" s="326">
        <f>+ตท.!F21</f>
        <v>983900</v>
      </c>
      <c r="E42" s="309" t="s">
        <v>70</v>
      </c>
      <c r="F42" s="327" t="s">
        <v>70</v>
      </c>
    </row>
    <row r="43" spans="1:6" ht="24" x14ac:dyDescent="0.55000000000000004">
      <c r="A43" s="104">
        <v>33</v>
      </c>
      <c r="B43" s="103" t="s">
        <v>38</v>
      </c>
      <c r="C43" s="307">
        <f>สท.!A19</f>
        <v>7</v>
      </c>
      <c r="D43" s="308">
        <f>สท.!F19</f>
        <v>3742700</v>
      </c>
      <c r="E43" s="309" t="s">
        <v>70</v>
      </c>
      <c r="F43" s="327" t="s">
        <v>70</v>
      </c>
    </row>
    <row r="44" spans="1:6" ht="24" x14ac:dyDescent="0.55000000000000004">
      <c r="A44" s="104">
        <v>34</v>
      </c>
      <c r="B44" s="103" t="s">
        <v>39</v>
      </c>
      <c r="C44" s="307" t="s">
        <v>70</v>
      </c>
      <c r="D44" s="308">
        <f>สง.ก.ต.ช.!F13</f>
        <v>0</v>
      </c>
      <c r="E44" s="309" t="s">
        <v>70</v>
      </c>
      <c r="F44" s="327" t="s">
        <v>70</v>
      </c>
    </row>
    <row r="45" spans="1:6" ht="24" x14ac:dyDescent="0.55000000000000004">
      <c r="A45" s="104">
        <v>35</v>
      </c>
      <c r="B45" s="103" t="s">
        <v>40</v>
      </c>
      <c r="C45" s="307">
        <f>บ.ตร.!A22</f>
        <v>10</v>
      </c>
      <c r="D45" s="308">
        <f>บ.ตร.!F22</f>
        <v>842583000</v>
      </c>
      <c r="E45" s="307">
        <f>บ.ตร.!A29</f>
        <v>4</v>
      </c>
      <c r="F45" s="308">
        <f>บ.ตร.!F29</f>
        <v>39254800</v>
      </c>
    </row>
    <row r="46" spans="1:6" ht="24" x14ac:dyDescent="0.55000000000000004">
      <c r="A46" s="104">
        <v>36</v>
      </c>
      <c r="B46" s="103" t="s">
        <v>41</v>
      </c>
      <c r="C46" s="307">
        <f>วน.!A15</f>
        <v>0</v>
      </c>
      <c r="D46" s="308">
        <f>วน.!F15</f>
        <v>0</v>
      </c>
      <c r="E46" s="309" t="s">
        <v>70</v>
      </c>
      <c r="F46" s="311" t="s">
        <v>70</v>
      </c>
    </row>
    <row r="47" spans="1:6" ht="24" x14ac:dyDescent="0.55000000000000004">
      <c r="A47" s="35"/>
      <c r="B47" s="310" t="s">
        <v>42</v>
      </c>
      <c r="C47" s="104">
        <f>SUM(C10:C46)</f>
        <v>275</v>
      </c>
      <c r="D47" s="127">
        <f>SUM(D10:D46)</f>
        <v>3156045500</v>
      </c>
      <c r="E47" s="104">
        <f>SUM(E11:E46)</f>
        <v>141</v>
      </c>
      <c r="F47" s="127">
        <f>SUM(F10:F46)</f>
        <v>1613643200</v>
      </c>
    </row>
  </sheetData>
  <mergeCells count="5">
    <mergeCell ref="C8:D8"/>
    <mergeCell ref="E8:F8"/>
    <mergeCell ref="B8:B9"/>
    <mergeCell ref="A8:A9"/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N4" sqref="N4"/>
    </sheetView>
  </sheetViews>
  <sheetFormatPr defaultRowHeight="12.75" x14ac:dyDescent="0.2"/>
  <cols>
    <col min="1" max="1" width="6.85546875" customWidth="1"/>
    <col min="2" max="2" width="9" customWidth="1"/>
    <col min="3" max="3" width="62.85546875" customWidth="1"/>
    <col min="4" max="4" width="9.140625" customWidth="1"/>
    <col min="5" max="5" width="14.85546875" customWidth="1"/>
    <col min="6" max="6" width="15.140625" bestFit="1" customWidth="1"/>
  </cols>
  <sheetData>
    <row r="1" spans="1:11" ht="24" x14ac:dyDescent="0.55000000000000004">
      <c r="A1" s="689" t="s">
        <v>576</v>
      </c>
      <c r="B1" s="689"/>
      <c r="C1" s="689"/>
      <c r="D1" s="689"/>
      <c r="E1" s="689"/>
      <c r="F1" s="689"/>
    </row>
    <row r="2" spans="1:11" ht="24" x14ac:dyDescent="0.55000000000000004">
      <c r="A2" s="689" t="s">
        <v>577</v>
      </c>
      <c r="B2" s="689"/>
      <c r="C2" s="689"/>
      <c r="D2" s="689"/>
      <c r="E2" s="689"/>
      <c r="F2" s="689"/>
    </row>
    <row r="4" spans="1:11" ht="24" x14ac:dyDescent="0.55000000000000004">
      <c r="A4" s="328" t="s">
        <v>0</v>
      </c>
      <c r="B4" s="329" t="s">
        <v>1</v>
      </c>
      <c r="C4" s="440" t="s">
        <v>4</v>
      </c>
      <c r="D4" s="329" t="s">
        <v>62</v>
      </c>
      <c r="E4" s="329" t="s">
        <v>578</v>
      </c>
      <c r="F4" s="330" t="s">
        <v>5</v>
      </c>
    </row>
    <row r="5" spans="1:11" ht="24.75" thickBot="1" x14ac:dyDescent="0.6">
      <c r="A5" s="331">
        <f>+A6+A7</f>
        <v>9</v>
      </c>
      <c r="B5" s="332"/>
      <c r="C5" s="333" t="s">
        <v>579</v>
      </c>
      <c r="D5" s="332"/>
      <c r="E5" s="332"/>
      <c r="F5" s="334">
        <f>+F6+F7</f>
        <v>1958402000</v>
      </c>
    </row>
    <row r="6" spans="1:11" ht="24.75" thickTop="1" x14ac:dyDescent="0.55000000000000004">
      <c r="A6" s="369">
        <f>+A9+A17+A28+A84+A137+A201+A237+A280+A289+A335+A365+A421+A458+A494+A517+A531+A645+A671+A687+A731+A746+A787+A792+A803+A829+A851+A867+A885+A893+A899+A903+A914+A928+A938+A942+A961+A968</f>
        <v>6</v>
      </c>
      <c r="B6" s="335"/>
      <c r="C6" s="336" t="s">
        <v>2</v>
      </c>
      <c r="D6" s="335"/>
      <c r="E6" s="335"/>
      <c r="F6" s="337">
        <f>+F9+F17+F28+F84+F137+F201+F237+F280+F289+F335+F365+F421+F458+F494+F517+F531+F645+F671+F687+F731+F746+F787+F792+F803+F829+F851+F867+F885+F893+F899+F903+F914+F928+F938+F942+F961+F968</f>
        <v>1948055000</v>
      </c>
    </row>
    <row r="7" spans="1:11" ht="24.75" thickBot="1" x14ac:dyDescent="0.6">
      <c r="A7" s="368">
        <f>+A13+A22+A48+A88+A144+A215+A247+A281+A303+A343+A378+A452+A491+A511+A518+A591+A661+A682+A717+A742+A783+A789+A800+A821+A842+A864+A880+A890+A896+A900+A911+A925+A935+A939+A955+A965+A977</f>
        <v>3</v>
      </c>
      <c r="B7" s="338"/>
      <c r="C7" s="339" t="s">
        <v>59</v>
      </c>
      <c r="D7" s="338"/>
      <c r="E7" s="338"/>
      <c r="F7" s="340">
        <f>+F13+F22+F48+F88+F144+F215+F247+F281+F303+F343+F378+F452+F491+F511+F518+F591+F661+F682+F717+F742+F783+F789+F800+F821+F842+F864+F880+F890+F896+F900+F911+F925+F935+F939+F955+F965+F977</f>
        <v>10347000</v>
      </c>
    </row>
    <row r="8" spans="1:11" ht="25.5" thickTop="1" thickBot="1" x14ac:dyDescent="0.6">
      <c r="A8" s="341">
        <f>+A9+A13</f>
        <v>2</v>
      </c>
      <c r="B8" s="335"/>
      <c r="C8" s="342" t="s">
        <v>580</v>
      </c>
      <c r="D8" s="335"/>
      <c r="E8" s="335"/>
      <c r="F8" s="334">
        <f>+F9+F13</f>
        <v>175000000</v>
      </c>
    </row>
    <row r="9" spans="1:11" ht="25.5" thickTop="1" thickBot="1" x14ac:dyDescent="0.6">
      <c r="A9" s="343">
        <f>+A11</f>
        <v>2</v>
      </c>
      <c r="B9" s="335"/>
      <c r="C9" s="336" t="s">
        <v>2</v>
      </c>
      <c r="D9" s="335"/>
      <c r="E9" s="335"/>
      <c r="F9" s="344">
        <f>SUM(F10:F12)</f>
        <v>175000000</v>
      </c>
    </row>
    <row r="10" spans="1:11" ht="24" x14ac:dyDescent="0.2">
      <c r="A10" s="345">
        <v>1</v>
      </c>
      <c r="B10" s="346"/>
      <c r="C10" s="347" t="s">
        <v>581</v>
      </c>
      <c r="D10" s="348"/>
      <c r="E10" s="345"/>
      <c r="F10" s="349">
        <v>123510000</v>
      </c>
      <c r="K10" s="318"/>
    </row>
    <row r="11" spans="1:11" ht="24" x14ac:dyDescent="0.2">
      <c r="A11" s="345">
        <f>+A10+1</f>
        <v>2</v>
      </c>
      <c r="B11" s="346"/>
      <c r="C11" s="347" t="s">
        <v>582</v>
      </c>
      <c r="D11" s="348" t="s">
        <v>583</v>
      </c>
      <c r="E11" s="345"/>
      <c r="F11" s="350">
        <v>51490000</v>
      </c>
    </row>
    <row r="12" spans="1:11" ht="24" x14ac:dyDescent="0.2">
      <c r="A12" s="345"/>
      <c r="B12" s="346"/>
      <c r="C12" s="347"/>
      <c r="D12" s="348"/>
      <c r="E12" s="351"/>
      <c r="F12" s="350"/>
    </row>
    <row r="13" spans="1:11" ht="24.75" thickBot="1" x14ac:dyDescent="0.6">
      <c r="A13" s="343">
        <f>+A14</f>
        <v>0</v>
      </c>
      <c r="B13" s="352"/>
      <c r="C13" s="336" t="s">
        <v>59</v>
      </c>
      <c r="D13" s="353"/>
      <c r="E13" s="354"/>
      <c r="F13" s="355">
        <f>+F14</f>
        <v>0</v>
      </c>
    </row>
    <row r="14" spans="1:11" ht="24" x14ac:dyDescent="0.55000000000000004">
      <c r="A14" s="356"/>
      <c r="B14" s="357"/>
      <c r="C14" s="358"/>
      <c r="D14" s="356"/>
      <c r="E14" s="356"/>
      <c r="F14" s="349"/>
    </row>
    <row r="15" spans="1:11" ht="24.75" thickBot="1" x14ac:dyDescent="0.6">
      <c r="A15" s="359"/>
      <c r="B15" s="360"/>
      <c r="C15" s="361"/>
      <c r="D15" s="359"/>
      <c r="E15" s="359"/>
      <c r="F15" s="362"/>
    </row>
    <row r="16" spans="1:11" ht="48.75" thickBot="1" x14ac:dyDescent="0.6">
      <c r="A16" s="374">
        <f>+A17+A22</f>
        <v>6</v>
      </c>
      <c r="B16" s="363"/>
      <c r="C16" s="373" t="s">
        <v>584</v>
      </c>
      <c r="D16" s="363"/>
      <c r="E16" s="363"/>
      <c r="F16" s="364">
        <f>+F17+F22</f>
        <v>12402000</v>
      </c>
    </row>
    <row r="17" spans="1:11" ht="25.5" thickTop="1" thickBot="1" x14ac:dyDescent="0.6">
      <c r="A17" s="365">
        <f>+A20</f>
        <v>3</v>
      </c>
      <c r="B17" s="363"/>
      <c r="C17" s="336" t="s">
        <v>2</v>
      </c>
      <c r="D17" s="363"/>
      <c r="E17" s="363"/>
      <c r="F17" s="366">
        <f>SUM(F18:F20)</f>
        <v>2055000</v>
      </c>
    </row>
    <row r="18" spans="1:11" ht="72" x14ac:dyDescent="0.2">
      <c r="A18" s="345">
        <v>1</v>
      </c>
      <c r="B18" s="346"/>
      <c r="C18" s="347" t="s">
        <v>585</v>
      </c>
      <c r="D18" s="348" t="s">
        <v>586</v>
      </c>
      <c r="E18" s="351"/>
      <c r="F18" s="349">
        <v>1677000</v>
      </c>
    </row>
    <row r="19" spans="1:11" ht="72" x14ac:dyDescent="0.2">
      <c r="A19" s="345">
        <v>2</v>
      </c>
      <c r="B19" s="346"/>
      <c r="C19" s="347" t="s">
        <v>587</v>
      </c>
      <c r="D19" s="348" t="s">
        <v>588</v>
      </c>
      <c r="E19" s="351"/>
      <c r="F19" s="350">
        <v>90000</v>
      </c>
    </row>
    <row r="20" spans="1:11" ht="72" x14ac:dyDescent="0.2">
      <c r="A20" s="345">
        <v>3</v>
      </c>
      <c r="B20" s="346"/>
      <c r="C20" s="347" t="s">
        <v>589</v>
      </c>
      <c r="D20" s="348" t="s">
        <v>590</v>
      </c>
      <c r="E20" s="351"/>
      <c r="F20" s="350">
        <v>288000</v>
      </c>
    </row>
    <row r="21" spans="1:11" ht="24" x14ac:dyDescent="0.2">
      <c r="A21" s="370"/>
      <c r="B21" s="352"/>
      <c r="C21" s="371"/>
      <c r="D21" s="353"/>
      <c r="E21" s="354"/>
      <c r="F21" s="372"/>
    </row>
    <row r="22" spans="1:11" ht="24.75" thickBot="1" x14ac:dyDescent="0.6">
      <c r="A22" s="343">
        <f>+A25</f>
        <v>3</v>
      </c>
      <c r="B22" s="352"/>
      <c r="C22" s="336" t="s">
        <v>59</v>
      </c>
      <c r="D22" s="353"/>
      <c r="E22" s="354"/>
      <c r="F22" s="367">
        <f>SUM(F23:F25)</f>
        <v>10347000</v>
      </c>
    </row>
    <row r="23" spans="1:11" ht="120" x14ac:dyDescent="0.2">
      <c r="A23" s="345">
        <v>1</v>
      </c>
      <c r="B23" s="346"/>
      <c r="C23" s="347" t="s">
        <v>591</v>
      </c>
      <c r="D23" s="345" t="s">
        <v>592</v>
      </c>
      <c r="E23" s="345"/>
      <c r="F23" s="349">
        <v>1500000</v>
      </c>
    </row>
    <row r="24" spans="1:11" ht="48" x14ac:dyDescent="0.2">
      <c r="A24" s="345">
        <v>2</v>
      </c>
      <c r="B24" s="346"/>
      <c r="C24" s="347" t="s">
        <v>593</v>
      </c>
      <c r="D24" s="345" t="s">
        <v>594</v>
      </c>
      <c r="E24" s="345"/>
      <c r="F24" s="349">
        <v>7864000</v>
      </c>
    </row>
    <row r="25" spans="1:11" ht="72.75" thickBot="1" x14ac:dyDescent="0.25">
      <c r="A25" s="345">
        <v>3</v>
      </c>
      <c r="B25" s="346"/>
      <c r="C25" s="347" t="s">
        <v>595</v>
      </c>
      <c r="D25" s="345" t="s">
        <v>596</v>
      </c>
      <c r="E25" s="345"/>
      <c r="F25" s="350">
        <v>983000</v>
      </c>
    </row>
    <row r="26" spans="1:11" ht="24.75" thickBot="1" x14ac:dyDescent="0.6">
      <c r="A26" s="341">
        <f>+A27+A31</f>
        <v>2</v>
      </c>
      <c r="B26" s="335"/>
      <c r="C26" s="342" t="s">
        <v>597</v>
      </c>
      <c r="D26" s="335"/>
      <c r="E26" s="335"/>
      <c r="F26" s="334">
        <f>+F27+F31</f>
        <v>1976000000</v>
      </c>
    </row>
    <row r="27" spans="1:11" ht="25.5" thickTop="1" thickBot="1" x14ac:dyDescent="0.6">
      <c r="A27" s="343">
        <f>+A29</f>
        <v>2</v>
      </c>
      <c r="B27" s="335"/>
      <c r="C27" s="336" t="s">
        <v>2</v>
      </c>
      <c r="D27" s="335"/>
      <c r="E27" s="335"/>
      <c r="F27" s="344">
        <f>SUM(F28:F30)</f>
        <v>1976000000</v>
      </c>
    </row>
    <row r="28" spans="1:11" ht="24" x14ac:dyDescent="0.2">
      <c r="A28" s="345">
        <v>1</v>
      </c>
      <c r="B28" s="346"/>
      <c r="C28" s="347" t="s">
        <v>598</v>
      </c>
      <c r="D28" s="348"/>
      <c r="E28" s="345"/>
      <c r="F28" s="349">
        <v>1771000000</v>
      </c>
      <c r="K28" s="318"/>
    </row>
    <row r="29" spans="1:11" ht="24" x14ac:dyDescent="0.2">
      <c r="A29" s="345">
        <f>+A28+1</f>
        <v>2</v>
      </c>
      <c r="B29" s="346"/>
      <c r="C29" s="347" t="s">
        <v>599</v>
      </c>
      <c r="D29" s="348"/>
      <c r="E29" s="345"/>
      <c r="F29" s="350">
        <v>205000000</v>
      </c>
    </row>
    <row r="30" spans="1:11" ht="24" x14ac:dyDescent="0.2">
      <c r="A30" s="345"/>
      <c r="B30" s="346"/>
      <c r="C30" s="347"/>
      <c r="D30" s="348"/>
      <c r="E30" s="351"/>
      <c r="F30" s="350"/>
    </row>
    <row r="31" spans="1:11" ht="24.75" thickBot="1" x14ac:dyDescent="0.6">
      <c r="A31" s="343">
        <f>+A32</f>
        <v>0</v>
      </c>
      <c r="B31" s="352"/>
      <c r="C31" s="336" t="s">
        <v>59</v>
      </c>
      <c r="D31" s="353"/>
      <c r="E31" s="354"/>
      <c r="F31" s="355">
        <f>+F32</f>
        <v>0</v>
      </c>
    </row>
    <row r="32" spans="1:11" ht="24" x14ac:dyDescent="0.55000000000000004">
      <c r="A32" s="356"/>
      <c r="B32" s="357"/>
      <c r="C32" s="358"/>
      <c r="D32" s="356"/>
      <c r="E32" s="356"/>
      <c r="F32" s="349"/>
    </row>
    <row r="33" spans="1:6" ht="24.75" thickBot="1" x14ac:dyDescent="0.6">
      <c r="A33" s="359"/>
      <c r="B33" s="360"/>
      <c r="C33" s="361"/>
      <c r="D33" s="359"/>
      <c r="E33" s="359"/>
      <c r="F33" s="362"/>
    </row>
  </sheetData>
  <mergeCells count="2">
    <mergeCell ref="A1:F1"/>
    <mergeCell ref="A2:F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B1" workbookViewId="0">
      <selection activeCell="L15" sqref="L15"/>
    </sheetView>
  </sheetViews>
  <sheetFormatPr defaultColWidth="9.140625" defaultRowHeight="24" x14ac:dyDescent="0.55000000000000004"/>
  <cols>
    <col min="1" max="1" width="0" style="125" hidden="1" customWidth="1"/>
    <col min="2" max="5" width="9.140625" style="35"/>
    <col min="6" max="6" width="18.85546875" style="35" customWidth="1"/>
    <col min="7" max="16384" width="9.140625" style="35"/>
  </cols>
  <sheetData>
    <row r="1" spans="1:10" s="37" customFormat="1" x14ac:dyDescent="0.55000000000000004">
      <c r="A1" s="445"/>
      <c r="B1" s="672" t="s">
        <v>600</v>
      </c>
      <c r="C1" s="672"/>
      <c r="D1" s="672"/>
      <c r="E1" s="672"/>
      <c r="F1" s="672"/>
      <c r="G1" s="672"/>
    </row>
    <row r="2" spans="1:10" s="37" customFormat="1" x14ac:dyDescent="0.55000000000000004">
      <c r="A2" s="445"/>
      <c r="B2" s="672" t="s">
        <v>601</v>
      </c>
      <c r="C2" s="672"/>
      <c r="D2" s="672"/>
      <c r="E2" s="672"/>
      <c r="F2" s="672"/>
      <c r="G2" s="672"/>
      <c r="J2" s="162"/>
    </row>
    <row r="3" spans="1:10" s="37" customFormat="1" x14ac:dyDescent="0.55000000000000004">
      <c r="A3" s="445"/>
      <c r="B3" s="672" t="s">
        <v>602</v>
      </c>
      <c r="C3" s="672"/>
      <c r="D3" s="672"/>
      <c r="E3" s="672"/>
      <c r="F3" s="672"/>
      <c r="G3" s="672"/>
    </row>
    <row r="4" spans="1:10" s="37" customFormat="1" x14ac:dyDescent="0.55000000000000004">
      <c r="A4" s="445"/>
      <c r="B4" s="452" t="s">
        <v>603</v>
      </c>
      <c r="C4" s="33"/>
      <c r="D4" s="33"/>
      <c r="E4" s="33"/>
      <c r="F4" s="163" t="e">
        <f>+Sheet2!Y44</f>
        <v>#REF!</v>
      </c>
      <c r="G4" s="33" t="s">
        <v>604</v>
      </c>
      <c r="I4" s="164" t="e">
        <f>+F4*100/[35]สรุปภาพรวม!D44</f>
        <v>#REF!</v>
      </c>
    </row>
    <row r="5" spans="1:10" x14ac:dyDescent="0.55000000000000004">
      <c r="A5" s="451"/>
      <c r="B5" s="691" t="s">
        <v>605</v>
      </c>
      <c r="C5" s="691"/>
      <c r="D5" s="691"/>
      <c r="E5" s="691"/>
      <c r="F5" s="691"/>
      <c r="G5" s="691"/>
    </row>
    <row r="6" spans="1:10" x14ac:dyDescent="0.55000000000000004">
      <c r="A6" s="451"/>
      <c r="B6" s="452"/>
      <c r="C6" s="452"/>
      <c r="D6" s="452"/>
      <c r="E6" s="452"/>
      <c r="F6" s="164"/>
      <c r="G6" s="452"/>
      <c r="H6" s="82"/>
    </row>
    <row r="7" spans="1:10" x14ac:dyDescent="0.55000000000000004">
      <c r="A7" s="451"/>
      <c r="B7" s="35" t="s">
        <v>606</v>
      </c>
    </row>
    <row r="8" spans="1:10" x14ac:dyDescent="0.55000000000000004">
      <c r="A8" s="451">
        <f>1+A13</f>
        <v>3</v>
      </c>
      <c r="B8" s="35" t="s">
        <v>41</v>
      </c>
      <c r="D8" s="35" t="s">
        <v>548</v>
      </c>
      <c r="F8" s="165">
        <v>100</v>
      </c>
    </row>
    <row r="9" spans="1:10" x14ac:dyDescent="0.55000000000000004">
      <c r="A9" s="451" t="e">
        <f>1+#REF!</f>
        <v>#REF!</v>
      </c>
      <c r="F9" s="169"/>
      <c r="G9" s="690"/>
      <c r="H9" s="690"/>
    </row>
    <row r="10" spans="1:10" x14ac:dyDescent="0.55000000000000004">
      <c r="A10" s="451"/>
      <c r="B10" s="37" t="s">
        <v>607</v>
      </c>
      <c r="C10" s="37"/>
      <c r="D10" s="37"/>
      <c r="E10" s="37"/>
      <c r="F10" s="37"/>
    </row>
    <row r="11" spans="1:10" s="37" customFormat="1" x14ac:dyDescent="0.55000000000000004">
      <c r="A11" s="445"/>
      <c r="B11" s="37" t="s">
        <v>608</v>
      </c>
    </row>
    <row r="12" spans="1:10" x14ac:dyDescent="0.55000000000000004">
      <c r="A12" s="451">
        <v>1</v>
      </c>
      <c r="B12" s="35" t="s">
        <v>8</v>
      </c>
      <c r="D12" s="35" t="s">
        <v>548</v>
      </c>
      <c r="F12" s="167">
        <f>+Sheet2!AB22</f>
        <v>0</v>
      </c>
    </row>
    <row r="13" spans="1:10" x14ac:dyDescent="0.55000000000000004">
      <c r="A13" s="451">
        <f>1+A12</f>
        <v>2</v>
      </c>
      <c r="B13" s="35" t="s">
        <v>9</v>
      </c>
      <c r="D13" s="35" t="s">
        <v>548</v>
      </c>
      <c r="F13" s="165">
        <f>+Sheet2!AB23</f>
        <v>0</v>
      </c>
    </row>
    <row r="14" spans="1:10" x14ac:dyDescent="0.55000000000000004">
      <c r="A14" s="451">
        <v>1</v>
      </c>
      <c r="B14" s="35" t="s">
        <v>15</v>
      </c>
      <c r="D14" s="35" t="s">
        <v>548</v>
      </c>
      <c r="F14" s="166">
        <f>+Sheet2!AB29</f>
        <v>0</v>
      </c>
    </row>
    <row r="15" spans="1:10" x14ac:dyDescent="0.55000000000000004">
      <c r="A15" s="451">
        <v>1</v>
      </c>
      <c r="B15" s="35" t="s">
        <v>29</v>
      </c>
      <c r="D15" s="35" t="s">
        <v>548</v>
      </c>
      <c r="F15" s="171" t="e">
        <f>+Sheet2!AB13</f>
        <v>#REF!</v>
      </c>
      <c r="G15" s="690"/>
      <c r="H15" s="690"/>
    </row>
    <row r="16" spans="1:10" x14ac:dyDescent="0.55000000000000004">
      <c r="A16" s="451">
        <f>1+A14</f>
        <v>2</v>
      </c>
      <c r="B16" s="170"/>
      <c r="F16" s="165"/>
    </row>
    <row r="17" spans="1:11" s="37" customFormat="1" x14ac:dyDescent="0.55000000000000004">
      <c r="A17" s="445"/>
      <c r="B17" s="37" t="s">
        <v>609</v>
      </c>
    </row>
    <row r="18" spans="1:11" x14ac:dyDescent="0.55000000000000004">
      <c r="A18" s="451" t="e">
        <f>1+#REF!</f>
        <v>#REF!</v>
      </c>
      <c r="B18" s="170" t="s">
        <v>6</v>
      </c>
      <c r="C18" s="170"/>
      <c r="D18" s="170" t="s">
        <v>548</v>
      </c>
      <c r="E18" s="170"/>
      <c r="F18" s="169">
        <v>0</v>
      </c>
      <c r="G18" s="152"/>
      <c r="K18" s="152">
        <v>1</v>
      </c>
    </row>
    <row r="19" spans="1:11" x14ac:dyDescent="0.55000000000000004">
      <c r="A19" s="451" t="e">
        <f>1+A18</f>
        <v>#REF!</v>
      </c>
      <c r="B19" s="170" t="s">
        <v>7</v>
      </c>
      <c r="C19" s="170"/>
      <c r="D19" s="170" t="s">
        <v>548</v>
      </c>
      <c r="E19" s="170"/>
      <c r="F19" s="169">
        <v>0</v>
      </c>
      <c r="G19" s="152"/>
      <c r="K19" s="152">
        <f>1+K18</f>
        <v>2</v>
      </c>
    </row>
    <row r="20" spans="1:11" x14ac:dyDescent="0.55000000000000004">
      <c r="A20" s="451"/>
      <c r="B20" s="170" t="s">
        <v>10</v>
      </c>
      <c r="C20" s="170"/>
      <c r="D20" s="170" t="s">
        <v>548</v>
      </c>
      <c r="E20" s="170"/>
      <c r="F20" s="169">
        <v>0</v>
      </c>
      <c r="K20" s="152">
        <f t="shared" ref="K20:K47" si="0">1+K19</f>
        <v>3</v>
      </c>
    </row>
    <row r="21" spans="1:11" x14ac:dyDescent="0.55000000000000004">
      <c r="A21" s="451"/>
      <c r="B21" s="170" t="s">
        <v>11</v>
      </c>
      <c r="C21" s="170"/>
      <c r="D21" s="170" t="s">
        <v>548</v>
      </c>
      <c r="E21" s="170"/>
      <c r="F21" s="169">
        <v>0</v>
      </c>
      <c r="K21" s="152">
        <f t="shared" si="0"/>
        <v>4</v>
      </c>
    </row>
    <row r="22" spans="1:11" x14ac:dyDescent="0.55000000000000004">
      <c r="A22" s="451"/>
      <c r="B22" s="170" t="s">
        <v>12</v>
      </c>
      <c r="D22" s="170" t="s">
        <v>548</v>
      </c>
      <c r="F22" s="169">
        <v>0</v>
      </c>
      <c r="K22" s="152">
        <f t="shared" si="0"/>
        <v>5</v>
      </c>
    </row>
    <row r="23" spans="1:11" x14ac:dyDescent="0.55000000000000004">
      <c r="A23" s="451"/>
      <c r="B23" s="170" t="s">
        <v>13</v>
      </c>
      <c r="D23" s="170" t="s">
        <v>548</v>
      </c>
      <c r="F23" s="169">
        <v>0</v>
      </c>
      <c r="K23" s="152">
        <f t="shared" si="0"/>
        <v>6</v>
      </c>
    </row>
    <row r="24" spans="1:11" x14ac:dyDescent="0.55000000000000004">
      <c r="A24" s="451"/>
      <c r="B24" s="170" t="s">
        <v>14</v>
      </c>
      <c r="D24" s="170" t="s">
        <v>548</v>
      </c>
      <c r="F24" s="169">
        <v>0</v>
      </c>
      <c r="K24" s="152">
        <f t="shared" si="0"/>
        <v>7</v>
      </c>
    </row>
    <row r="25" spans="1:11" x14ac:dyDescent="0.55000000000000004">
      <c r="A25" s="451"/>
      <c r="B25" s="35" t="s">
        <v>16</v>
      </c>
      <c r="D25" s="170" t="s">
        <v>548</v>
      </c>
      <c r="F25" s="169">
        <v>0</v>
      </c>
      <c r="K25" s="152">
        <f t="shared" si="0"/>
        <v>8</v>
      </c>
    </row>
    <row r="26" spans="1:11" x14ac:dyDescent="0.55000000000000004">
      <c r="A26" s="451"/>
      <c r="B26" s="35" t="s">
        <v>17</v>
      </c>
      <c r="D26" s="170" t="s">
        <v>548</v>
      </c>
      <c r="F26" s="169">
        <v>0</v>
      </c>
      <c r="K26" s="152">
        <f t="shared" si="0"/>
        <v>9</v>
      </c>
    </row>
    <row r="27" spans="1:11" x14ac:dyDescent="0.55000000000000004">
      <c r="A27" s="451"/>
      <c r="B27" s="35" t="s">
        <v>140</v>
      </c>
      <c r="D27" s="170" t="s">
        <v>548</v>
      </c>
      <c r="F27" s="169">
        <v>0</v>
      </c>
      <c r="K27" s="152">
        <f t="shared" si="0"/>
        <v>10</v>
      </c>
    </row>
    <row r="28" spans="1:11" x14ac:dyDescent="0.55000000000000004">
      <c r="A28" s="451"/>
      <c r="B28" s="35" t="s">
        <v>19</v>
      </c>
      <c r="D28" s="170" t="s">
        <v>548</v>
      </c>
      <c r="F28" s="169">
        <v>0</v>
      </c>
      <c r="K28" s="152">
        <f t="shared" si="0"/>
        <v>11</v>
      </c>
    </row>
    <row r="29" spans="1:11" x14ac:dyDescent="0.55000000000000004">
      <c r="A29" s="451"/>
      <c r="B29" s="35" t="s">
        <v>20</v>
      </c>
      <c r="D29" s="170" t="s">
        <v>548</v>
      </c>
      <c r="F29" s="169">
        <v>0</v>
      </c>
      <c r="K29" s="152">
        <f t="shared" si="0"/>
        <v>12</v>
      </c>
    </row>
    <row r="30" spans="1:11" x14ac:dyDescent="0.55000000000000004">
      <c r="A30" s="451"/>
      <c r="B30" s="35" t="s">
        <v>21</v>
      </c>
      <c r="D30" s="170" t="s">
        <v>548</v>
      </c>
      <c r="F30" s="169">
        <v>0</v>
      </c>
      <c r="K30" s="152">
        <f t="shared" si="0"/>
        <v>13</v>
      </c>
    </row>
    <row r="31" spans="1:11" x14ac:dyDescent="0.55000000000000004">
      <c r="A31" s="451"/>
      <c r="B31" s="35" t="s">
        <v>32</v>
      </c>
      <c r="D31" s="170" t="s">
        <v>548</v>
      </c>
      <c r="F31" s="169">
        <v>0</v>
      </c>
      <c r="K31" s="152">
        <f t="shared" si="0"/>
        <v>14</v>
      </c>
    </row>
    <row r="32" spans="1:11" x14ac:dyDescent="0.55000000000000004">
      <c r="A32" s="451"/>
      <c r="B32" s="35" t="s">
        <v>34</v>
      </c>
      <c r="D32" s="170" t="s">
        <v>548</v>
      </c>
      <c r="F32" s="169">
        <v>0</v>
      </c>
      <c r="K32" s="152">
        <f t="shared" si="0"/>
        <v>15</v>
      </c>
    </row>
    <row r="33" spans="2:11" x14ac:dyDescent="0.55000000000000004">
      <c r="B33" s="35" t="s">
        <v>23</v>
      </c>
      <c r="D33" s="170" t="s">
        <v>548</v>
      </c>
      <c r="F33" s="169">
        <v>0</v>
      </c>
      <c r="K33" s="152">
        <f t="shared" si="0"/>
        <v>16</v>
      </c>
    </row>
    <row r="34" spans="2:11" x14ac:dyDescent="0.55000000000000004">
      <c r="B34" s="35" t="s">
        <v>24</v>
      </c>
      <c r="D34" s="170" t="s">
        <v>548</v>
      </c>
      <c r="F34" s="169">
        <v>0</v>
      </c>
      <c r="K34" s="152">
        <f t="shared" si="0"/>
        <v>17</v>
      </c>
    </row>
    <row r="35" spans="2:11" x14ac:dyDescent="0.55000000000000004">
      <c r="B35" s="35" t="s">
        <v>25</v>
      </c>
      <c r="D35" s="170" t="s">
        <v>548</v>
      </c>
      <c r="F35" s="169">
        <v>0</v>
      </c>
      <c r="K35" s="152">
        <f t="shared" si="0"/>
        <v>18</v>
      </c>
    </row>
    <row r="36" spans="2:11" x14ac:dyDescent="0.55000000000000004">
      <c r="B36" s="35" t="s">
        <v>27</v>
      </c>
      <c r="D36" s="170" t="s">
        <v>548</v>
      </c>
      <c r="F36" s="169">
        <v>0</v>
      </c>
      <c r="K36" s="152">
        <f t="shared" si="0"/>
        <v>19</v>
      </c>
    </row>
    <row r="37" spans="2:11" x14ac:dyDescent="0.55000000000000004">
      <c r="B37" s="35" t="s">
        <v>26</v>
      </c>
      <c r="D37" s="170" t="s">
        <v>548</v>
      </c>
      <c r="F37" s="169">
        <v>0</v>
      </c>
      <c r="K37" s="152">
        <f t="shared" si="0"/>
        <v>20</v>
      </c>
    </row>
    <row r="38" spans="2:11" x14ac:dyDescent="0.55000000000000004">
      <c r="B38" s="35" t="s">
        <v>33</v>
      </c>
      <c r="D38" s="170" t="s">
        <v>548</v>
      </c>
      <c r="F38" s="169">
        <v>0</v>
      </c>
      <c r="K38" s="152">
        <f t="shared" si="0"/>
        <v>21</v>
      </c>
    </row>
    <row r="39" spans="2:11" x14ac:dyDescent="0.55000000000000004">
      <c r="B39" s="35" t="s">
        <v>35</v>
      </c>
      <c r="D39" s="170" t="s">
        <v>548</v>
      </c>
      <c r="F39" s="169">
        <v>0</v>
      </c>
      <c r="K39" s="152">
        <f t="shared" si="0"/>
        <v>22</v>
      </c>
    </row>
    <row r="40" spans="2:11" x14ac:dyDescent="0.55000000000000004">
      <c r="B40" s="35" t="s">
        <v>30</v>
      </c>
      <c r="D40" s="170" t="s">
        <v>548</v>
      </c>
      <c r="F40" s="169">
        <v>0</v>
      </c>
      <c r="K40" s="152">
        <f t="shared" si="0"/>
        <v>23</v>
      </c>
    </row>
    <row r="41" spans="2:11" x14ac:dyDescent="0.55000000000000004">
      <c r="B41" s="35" t="s">
        <v>36</v>
      </c>
      <c r="D41" s="170" t="s">
        <v>548</v>
      </c>
      <c r="F41" s="169">
        <v>0</v>
      </c>
      <c r="K41" s="152">
        <f t="shared" si="0"/>
        <v>24</v>
      </c>
    </row>
    <row r="42" spans="2:11" x14ac:dyDescent="0.55000000000000004">
      <c r="B42" s="35" t="s">
        <v>28</v>
      </c>
      <c r="D42" s="170" t="s">
        <v>548</v>
      </c>
      <c r="F42" s="169">
        <v>0</v>
      </c>
      <c r="K42" s="152">
        <f t="shared" si="0"/>
        <v>25</v>
      </c>
    </row>
    <row r="43" spans="2:11" x14ac:dyDescent="0.55000000000000004">
      <c r="B43" s="35" t="s">
        <v>454</v>
      </c>
      <c r="D43" s="170" t="s">
        <v>548</v>
      </c>
      <c r="F43" s="169">
        <v>0</v>
      </c>
      <c r="K43" s="152">
        <f t="shared" si="0"/>
        <v>26</v>
      </c>
    </row>
    <row r="44" spans="2:11" x14ac:dyDescent="0.55000000000000004">
      <c r="B44" s="35" t="s">
        <v>37</v>
      </c>
      <c r="D44" s="170" t="s">
        <v>548</v>
      </c>
      <c r="F44" s="169">
        <v>0</v>
      </c>
      <c r="K44" s="152">
        <f t="shared" si="0"/>
        <v>27</v>
      </c>
    </row>
    <row r="45" spans="2:11" x14ac:dyDescent="0.55000000000000004">
      <c r="B45" s="35" t="s">
        <v>38</v>
      </c>
      <c r="D45" s="170" t="s">
        <v>548</v>
      </c>
      <c r="F45" s="169">
        <v>0</v>
      </c>
      <c r="K45" s="152">
        <f t="shared" si="0"/>
        <v>28</v>
      </c>
    </row>
    <row r="46" spans="2:11" x14ac:dyDescent="0.55000000000000004">
      <c r="B46" s="35" t="s">
        <v>253</v>
      </c>
      <c r="D46" s="170" t="s">
        <v>548</v>
      </c>
      <c r="F46" s="169">
        <v>0</v>
      </c>
      <c r="K46" s="152">
        <f t="shared" si="0"/>
        <v>29</v>
      </c>
    </row>
    <row r="47" spans="2:11" x14ac:dyDescent="0.55000000000000004">
      <c r="B47" s="35" t="s">
        <v>31</v>
      </c>
      <c r="D47" s="170" t="s">
        <v>548</v>
      </c>
      <c r="F47" s="169">
        <v>0</v>
      </c>
      <c r="K47" s="152">
        <f t="shared" si="0"/>
        <v>30</v>
      </c>
    </row>
  </sheetData>
  <mergeCells count="6">
    <mergeCell ref="G15:H15"/>
    <mergeCell ref="B1:G1"/>
    <mergeCell ref="B2:G2"/>
    <mergeCell ref="B3:G3"/>
    <mergeCell ref="B5:G5"/>
    <mergeCell ref="G9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workbookViewId="0">
      <selection activeCell="A3" sqref="A3:M3"/>
    </sheetView>
  </sheetViews>
  <sheetFormatPr defaultColWidth="9.140625" defaultRowHeight="21.75" x14ac:dyDescent="0.5"/>
  <cols>
    <col min="1" max="1" width="5.85546875" style="617" customWidth="1"/>
    <col min="2" max="3" width="6.85546875" style="617" customWidth="1"/>
    <col min="4" max="4" width="8.42578125" style="617" customWidth="1"/>
    <col min="5" max="5" width="43" style="460" customWidth="1"/>
    <col min="6" max="6" width="16.85546875" style="559" customWidth="1"/>
    <col min="7" max="7" width="17.42578125" style="488" customWidth="1"/>
    <col min="8" max="8" width="17.42578125" style="488" hidden="1" customWidth="1"/>
    <col min="9" max="9" width="32.28515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7109375" style="488" customWidth="1"/>
    <col min="14" max="14" width="33.85546875" style="12" customWidth="1"/>
    <col min="15" max="25" width="9.140625" style="12"/>
    <col min="26" max="16384" width="9.140625" style="460"/>
  </cols>
  <sheetData>
    <row r="1" spans="1:36" ht="27.75" x14ac:dyDescent="0.65">
      <c r="A1" s="655" t="s">
        <v>679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x14ac:dyDescent="0.5">
      <c r="A3" s="656" t="s">
        <v>685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</row>
    <row r="4" spans="1:36" x14ac:dyDescent="0.5">
      <c r="A4" s="460"/>
      <c r="B4" s="460"/>
      <c r="C4" s="460"/>
      <c r="D4" s="460"/>
      <c r="F4" s="654"/>
      <c r="G4" s="654"/>
      <c r="H4" s="617"/>
      <c r="I4" s="617"/>
      <c r="J4" s="616"/>
      <c r="M4" s="617"/>
      <c r="N4" s="618"/>
      <c r="O4" s="618"/>
    </row>
    <row r="5" spans="1:36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75</v>
      </c>
      <c r="J5" s="643" t="s">
        <v>50</v>
      </c>
      <c r="K5" s="643" t="s">
        <v>51</v>
      </c>
      <c r="L5" s="657" t="s">
        <v>52</v>
      </c>
      <c r="M5" s="651" t="s">
        <v>678</v>
      </c>
      <c r="N5" s="642" t="s">
        <v>53</v>
      </c>
      <c r="O5" s="642" t="s">
        <v>54</v>
      </c>
    </row>
    <row r="6" spans="1:36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642"/>
      <c r="O6" s="642"/>
    </row>
    <row r="7" spans="1:36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642"/>
      <c r="O7" s="642"/>
    </row>
    <row r="8" spans="1:36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642"/>
      <c r="O8" s="642"/>
    </row>
    <row r="9" spans="1:36" x14ac:dyDescent="0.5">
      <c r="A9" s="10"/>
      <c r="B9" s="10"/>
      <c r="C9" s="10"/>
      <c r="D9" s="10"/>
      <c r="E9" s="29" t="s">
        <v>29</v>
      </c>
      <c r="F9" s="10"/>
      <c r="G9" s="100"/>
      <c r="H9" s="100"/>
      <c r="I9" s="100"/>
      <c r="J9" s="100"/>
      <c r="K9" s="468"/>
      <c r="L9" s="468"/>
      <c r="M9" s="100"/>
    </row>
    <row r="10" spans="1:36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</row>
    <row r="11" spans="1:36" s="16" customFormat="1" ht="43.5" x14ac:dyDescent="0.2">
      <c r="A11" s="14">
        <v>1</v>
      </c>
      <c r="B11" s="261"/>
      <c r="C11" s="261" t="s">
        <v>674</v>
      </c>
      <c r="D11" s="261" t="s">
        <v>29</v>
      </c>
      <c r="E11" s="473" t="s">
        <v>671</v>
      </c>
      <c r="F11" s="474">
        <v>205000000</v>
      </c>
      <c r="G11" s="31"/>
      <c r="H11" s="31"/>
      <c r="I11" s="31"/>
      <c r="J11" s="31"/>
      <c r="K11" s="15"/>
      <c r="L11" s="15"/>
      <c r="M11" s="31"/>
    </row>
    <row r="12" spans="1:36" s="16" customFormat="1" x14ac:dyDescent="0.2">
      <c r="A12" s="14"/>
      <c r="B12" s="476"/>
      <c r="C12" s="476"/>
      <c r="D12" s="476"/>
      <c r="E12" s="477"/>
      <c r="F12" s="478"/>
      <c r="G12" s="31"/>
      <c r="H12" s="31"/>
      <c r="I12" s="31"/>
      <c r="J12" s="31"/>
      <c r="K12" s="15"/>
      <c r="L12" s="15"/>
      <c r="M12" s="31"/>
    </row>
    <row r="13" spans="1:36" s="12" customFormat="1" ht="22.5" thickBot="1" x14ac:dyDescent="0.55000000000000004">
      <c r="A13" s="232">
        <f>+A11</f>
        <v>1</v>
      </c>
      <c r="B13" s="232"/>
      <c r="C13" s="232"/>
      <c r="D13" s="232"/>
      <c r="E13" s="233" t="s">
        <v>58</v>
      </c>
      <c r="F13" s="297">
        <f>SUM(F11:F12)</f>
        <v>205000000</v>
      </c>
      <c r="G13" s="234">
        <f>SUM(G12:G12)</f>
        <v>0</v>
      </c>
      <c r="H13" s="234">
        <f>SUM(H12:H12)</f>
        <v>0</v>
      </c>
      <c r="I13" s="234"/>
      <c r="J13" s="234">
        <f>SUM(J12:J12)</f>
        <v>0</v>
      </c>
      <c r="K13" s="234">
        <f>SUM(K12:K12)</f>
        <v>0</v>
      </c>
      <c r="L13" s="234">
        <f>SUM(L12:L12)</f>
        <v>0</v>
      </c>
      <c r="M13" s="234"/>
      <c r="N13" s="231"/>
      <c r="O13" s="231"/>
    </row>
    <row r="14" spans="1:36" s="16" customFormat="1" hidden="1" x14ac:dyDescent="0.2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1"/>
    </row>
    <row r="15" spans="1:36" s="16" customFormat="1" hidden="1" x14ac:dyDescent="0.2">
      <c r="A15" s="261"/>
      <c r="B15" s="261"/>
      <c r="C15" s="554"/>
      <c r="D15" s="261"/>
      <c r="E15" s="533"/>
      <c r="F15" s="534"/>
      <c r="G15" s="281"/>
      <c r="H15" s="281"/>
      <c r="I15" s="281"/>
      <c r="J15" s="31"/>
      <c r="K15" s="15"/>
      <c r="L15" s="15"/>
      <c r="M15" s="281"/>
    </row>
    <row r="16" spans="1:36" s="16" customFormat="1" hidden="1" x14ac:dyDescent="0.2">
      <c r="A16" s="261"/>
      <c r="B16" s="261"/>
      <c r="C16" s="554"/>
      <c r="D16" s="261"/>
      <c r="E16" s="533"/>
      <c r="F16" s="534"/>
      <c r="G16" s="281"/>
      <c r="H16" s="281"/>
      <c r="I16" s="281"/>
      <c r="J16" s="31"/>
      <c r="K16" s="15"/>
      <c r="L16" s="15"/>
      <c r="M16" s="281"/>
    </row>
    <row r="17" spans="1:25" s="16" customFormat="1" hidden="1" x14ac:dyDescent="0.2">
      <c r="A17" s="14"/>
      <c r="B17" s="14"/>
      <c r="C17" s="554"/>
      <c r="D17" s="261"/>
      <c r="E17" s="555"/>
      <c r="F17" s="534"/>
      <c r="G17" s="31"/>
      <c r="H17" s="31"/>
      <c r="I17" s="31"/>
      <c r="J17" s="31"/>
      <c r="K17" s="15"/>
      <c r="L17" s="15"/>
      <c r="M17" s="31"/>
    </row>
    <row r="18" spans="1:25" s="16" customFormat="1" hidden="1" x14ac:dyDescent="0.2">
      <c r="A18" s="14"/>
      <c r="B18" s="14"/>
      <c r="C18" s="14"/>
      <c r="D18" s="14"/>
      <c r="E18" s="477"/>
      <c r="F18" s="496"/>
      <c r="G18" s="31"/>
      <c r="H18" s="31"/>
      <c r="I18" s="31"/>
      <c r="J18" s="31"/>
      <c r="K18" s="15"/>
      <c r="L18" s="15"/>
      <c r="M18" s="31"/>
    </row>
    <row r="19" spans="1:25" s="16" customFormat="1" ht="22.5" hidden="1" thickBot="1" x14ac:dyDescent="0.55000000000000004">
      <c r="A19" s="235">
        <f>+A17</f>
        <v>0</v>
      </c>
      <c r="B19" s="235"/>
      <c r="C19" s="235"/>
      <c r="D19" s="235"/>
      <c r="E19" s="236" t="s">
        <v>60</v>
      </c>
      <c r="F19" s="298">
        <f>SUM(F17:F18)</f>
        <v>0</v>
      </c>
      <c r="G19" s="237">
        <f>SUM(G15:G18)</f>
        <v>0</v>
      </c>
      <c r="H19" s="237">
        <f>SUM(H15:H18)</f>
        <v>0</v>
      </c>
      <c r="I19" s="237"/>
      <c r="J19" s="237">
        <f>SUM(J15:J18)</f>
        <v>0</v>
      </c>
      <c r="K19" s="237">
        <f>SUM(K15:K18)</f>
        <v>0</v>
      </c>
      <c r="L19" s="237">
        <f>SUM(L15:L18)</f>
        <v>0</v>
      </c>
      <c r="M19" s="237"/>
      <c r="N19" s="231"/>
      <c r="O19" s="231"/>
    </row>
    <row r="20" spans="1:25" s="480" customFormat="1" ht="22.5" thickBot="1" x14ac:dyDescent="0.55000000000000004">
      <c r="A20" s="238">
        <f>+A13+A19</f>
        <v>1</v>
      </c>
      <c r="B20" s="239"/>
      <c r="C20" s="239"/>
      <c r="D20" s="239"/>
      <c r="E20" s="239" t="s">
        <v>484</v>
      </c>
      <c r="F20" s="299">
        <f>F13+F19</f>
        <v>205000000</v>
      </c>
      <c r="G20" s="240">
        <f>+G13+G19</f>
        <v>0</v>
      </c>
      <c r="H20" s="240">
        <f>+H13+H19</f>
        <v>0</v>
      </c>
      <c r="I20" s="240"/>
      <c r="J20" s="240">
        <f>J13+J19</f>
        <v>0</v>
      </c>
      <c r="K20" s="240">
        <f>K13+K19</f>
        <v>0</v>
      </c>
      <c r="L20" s="240">
        <f>L13+L19</f>
        <v>0</v>
      </c>
      <c r="M20" s="240"/>
      <c r="N20" s="619"/>
      <c r="O20" s="619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16" customFormat="1" x14ac:dyDescent="0.2">
      <c r="A21" s="481"/>
      <c r="B21" s="481"/>
      <c r="C21" s="481"/>
      <c r="D21" s="481"/>
      <c r="E21" s="482"/>
      <c r="F21" s="558"/>
      <c r="G21" s="375"/>
      <c r="H21" s="375"/>
      <c r="I21" s="375"/>
      <c r="J21" s="375"/>
      <c r="K21" s="376"/>
      <c r="L21" s="376"/>
      <c r="M21" s="375"/>
    </row>
    <row r="22" spans="1:25" s="16" customFormat="1" x14ac:dyDescent="0.2">
      <c r="A22" s="481"/>
      <c r="B22" s="481"/>
      <c r="C22" s="481"/>
      <c r="D22" s="481"/>
      <c r="E22" s="482"/>
      <c r="F22" s="558"/>
      <c r="G22" s="375"/>
      <c r="H22" s="375"/>
      <c r="I22" s="375"/>
      <c r="J22" s="375"/>
      <c r="K22" s="376"/>
      <c r="L22" s="376"/>
      <c r="M22" s="375"/>
    </row>
    <row r="23" spans="1:25" s="16" customFormat="1" x14ac:dyDescent="0.2">
      <c r="A23" s="481"/>
      <c r="B23" s="481"/>
      <c r="C23" s="481"/>
      <c r="D23" s="481"/>
      <c r="E23" s="482"/>
      <c r="F23" s="558"/>
      <c r="G23" s="375"/>
      <c r="H23" s="375"/>
      <c r="I23" s="375"/>
      <c r="J23" s="375"/>
      <c r="K23" s="376"/>
      <c r="L23" s="376"/>
      <c r="M23" s="375"/>
    </row>
    <row r="24" spans="1:25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</row>
    <row r="25" spans="1:25" s="16" customFormat="1" x14ac:dyDescent="0.2">
      <c r="A25" s="481"/>
      <c r="B25" s="481"/>
      <c r="C25" s="481"/>
      <c r="D25" s="481"/>
      <c r="E25" s="482"/>
      <c r="F25" s="558"/>
      <c r="G25" s="375"/>
      <c r="H25" s="375"/>
      <c r="I25" s="375"/>
      <c r="J25" s="375"/>
      <c r="K25" s="376"/>
      <c r="L25" s="376"/>
      <c r="M25" s="375"/>
    </row>
    <row r="26" spans="1:25" s="16" customFormat="1" x14ac:dyDescent="0.2">
      <c r="A26" s="481"/>
      <c r="B26" s="481"/>
      <c r="C26" s="481"/>
      <c r="D26" s="481"/>
      <c r="E26" s="482"/>
      <c r="F26" s="558"/>
      <c r="G26" s="375"/>
      <c r="H26" s="375"/>
      <c r="I26" s="375"/>
      <c r="J26" s="375"/>
      <c r="K26" s="376"/>
      <c r="L26" s="376"/>
      <c r="M26" s="375"/>
    </row>
    <row r="27" spans="1:25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</row>
    <row r="28" spans="1:25" s="16" customFormat="1" x14ac:dyDescent="0.2">
      <c r="A28" s="481"/>
      <c r="B28" s="481"/>
      <c r="C28" s="481"/>
      <c r="D28" s="481"/>
      <c r="E28" s="482"/>
      <c r="F28" s="558"/>
      <c r="G28" s="375"/>
      <c r="H28" s="375"/>
      <c r="I28" s="375"/>
      <c r="J28" s="375"/>
      <c r="K28" s="376"/>
      <c r="L28" s="376"/>
      <c r="M28" s="375"/>
    </row>
    <row r="29" spans="1:25" s="16" customFormat="1" x14ac:dyDescent="0.2">
      <c r="A29" s="481"/>
      <c r="B29" s="481"/>
      <c r="C29" s="481"/>
      <c r="D29" s="481"/>
      <c r="E29" s="482"/>
      <c r="F29" s="558"/>
      <c r="G29" s="375"/>
      <c r="H29" s="375"/>
      <c r="I29" s="375"/>
      <c r="J29" s="375"/>
      <c r="K29" s="376"/>
      <c r="L29" s="376"/>
      <c r="M29" s="375"/>
    </row>
    <row r="30" spans="1:25" s="16" customFormat="1" x14ac:dyDescent="0.2">
      <c r="A30" s="481"/>
      <c r="B30" s="481"/>
      <c r="C30" s="481"/>
      <c r="D30" s="481"/>
      <c r="E30" s="482"/>
      <c r="F30" s="558"/>
      <c r="G30" s="375"/>
      <c r="H30" s="375"/>
      <c r="I30" s="375"/>
      <c r="J30" s="375"/>
      <c r="K30" s="376"/>
      <c r="L30" s="376"/>
      <c r="M30" s="375"/>
    </row>
    <row r="31" spans="1:25" s="16" customFormat="1" x14ac:dyDescent="0.2">
      <c r="A31" s="481"/>
      <c r="B31" s="481"/>
      <c r="C31" s="481"/>
      <c r="D31" s="481"/>
      <c r="E31" s="482"/>
      <c r="F31" s="558"/>
      <c r="G31" s="375"/>
      <c r="H31" s="375"/>
      <c r="I31" s="375"/>
      <c r="J31" s="375"/>
      <c r="K31" s="376"/>
      <c r="L31" s="376"/>
      <c r="M31" s="375"/>
    </row>
    <row r="32" spans="1:25" s="16" customFormat="1" x14ac:dyDescent="0.2">
      <c r="A32" s="481"/>
      <c r="B32" s="481"/>
      <c r="C32" s="481"/>
      <c r="D32" s="481"/>
      <c r="E32" s="482"/>
      <c r="F32" s="558"/>
      <c r="G32" s="375"/>
      <c r="H32" s="375"/>
      <c r="I32" s="375"/>
      <c r="J32" s="375"/>
      <c r="K32" s="376"/>
      <c r="L32" s="376"/>
      <c r="M32" s="375"/>
    </row>
    <row r="33" spans="1:44" s="16" customFormat="1" x14ac:dyDescent="0.2">
      <c r="A33" s="481"/>
      <c r="B33" s="481"/>
      <c r="C33" s="481"/>
      <c r="D33" s="481"/>
      <c r="E33" s="482"/>
      <c r="F33" s="558"/>
      <c r="G33" s="375"/>
      <c r="H33" s="375"/>
      <c r="I33" s="375"/>
      <c r="J33" s="375"/>
      <c r="K33" s="376"/>
      <c r="L33" s="376"/>
      <c r="M33" s="375"/>
    </row>
    <row r="34" spans="1:44" s="16" customFormat="1" x14ac:dyDescent="0.2">
      <c r="A34" s="481"/>
      <c r="B34" s="481"/>
      <c r="C34" s="481"/>
      <c r="D34" s="481"/>
      <c r="E34" s="482"/>
      <c r="F34" s="558"/>
      <c r="G34" s="375"/>
      <c r="H34" s="375"/>
      <c r="I34" s="375"/>
      <c r="J34" s="375"/>
      <c r="K34" s="376"/>
      <c r="L34" s="376"/>
      <c r="M34" s="375"/>
    </row>
    <row r="35" spans="1:44" s="16" customFormat="1" x14ac:dyDescent="0.2">
      <c r="A35" s="481"/>
      <c r="B35" s="481"/>
      <c r="C35" s="481"/>
      <c r="D35" s="481"/>
      <c r="E35" s="482"/>
      <c r="F35" s="558"/>
      <c r="G35" s="375"/>
      <c r="H35" s="375"/>
      <c r="I35" s="375"/>
      <c r="J35" s="375"/>
      <c r="K35" s="376"/>
      <c r="L35" s="376"/>
      <c r="M35" s="375"/>
    </row>
    <row r="36" spans="1:44" s="16" customFormat="1" x14ac:dyDescent="0.2">
      <c r="A36" s="481"/>
      <c r="B36" s="481"/>
      <c r="C36" s="481"/>
      <c r="D36" s="481"/>
      <c r="E36" s="482"/>
      <c r="F36" s="558"/>
      <c r="G36" s="375"/>
      <c r="H36" s="375"/>
      <c r="I36" s="375"/>
      <c r="J36" s="375"/>
      <c r="K36" s="376"/>
      <c r="L36" s="376"/>
      <c r="M36" s="375"/>
    </row>
    <row r="37" spans="1:44" s="16" customFormat="1" x14ac:dyDescent="0.5">
      <c r="A37" s="481"/>
      <c r="B37" s="481"/>
      <c r="C37" s="481"/>
      <c r="D37" s="481"/>
      <c r="E37" s="621" t="s">
        <v>61</v>
      </c>
      <c r="F37" s="622">
        <f>SUM(บช.น.!F27+ภ.1!F18+ภ.2!F23+ภ.4!F21+ภ.6!F17+ภ.7!F15+ภ.9!F19+ศชต.!F27+บช.ก.!F34+บช.ปส.!F28+บช.ส.!F16+สตม.!F22+บช.ตชด.!F38+สง.นรป.!F13+สพฐ.ตร.!F19+สทส.!F22+บช.ศ.!F25+รร.นรต.!F18+รพ.ตร.!F17+สยศ.ตร.!F14+สกบ.!F44+สกพ.!F12+สงป.!F13+กมค.!F19+สง.ก.ตร.!F16+จต.!F13+สตส.!F13+สท.!F19+สง.ก.ต.ช.!F13+บ.ตร.!F22+วน.!F15)</f>
        <v>3115126100</v>
      </c>
      <c r="G37" s="415" t="s">
        <v>62</v>
      </c>
      <c r="H37" s="415"/>
      <c r="I37" s="375"/>
      <c r="J37" s="380">
        <f>SUM(บช.น.!A27+ภ.1!A18+ภ.2!A23+ภ.4!A21+ภ.6!A17+ภ.7!A15+ภ.9!A19+ศชต.!A27+ภ.5!A28+ภ.8!A27+บช.ก.!A34+บช.ปส.!A28+บช.ส.!A16+สตม.!A22+บช.ตชด.!A38+สง.นรป.!A13+สพฐ.ตร.!A19+สทส.!A22+บช.ศ.!A25+รร.นรต.!A18+รพ.ตร.!A17+สยศ.ตร.!A14+สกบ.!A44+สกพ.!A12+สงป.!A13+กมค.!A19+สง.ก.ตร.!A16+จต.!A13+สตส.!A13+สท.!A19+สง.ก.ต.ช.!A13+บ.ตร.!A22+วน.!A15+สลก.ตร.!A19+ตท.!A21)</f>
        <v>275</v>
      </c>
      <c r="K37" s="376"/>
      <c r="L37" s="376"/>
      <c r="M37" s="375"/>
    </row>
    <row r="38" spans="1:44" x14ac:dyDescent="0.5">
      <c r="E38" s="623" t="s">
        <v>63</v>
      </c>
      <c r="F38" s="624">
        <f>SUM(บช.น.!F31+ภ.1!F22+ภ.2!F29+ภ.3!F21+ภ.4!F25+ภ.5!F36+ภ.6!F33+ภ.7!F19+ภ.8!F35+ภ.9!F25+ศชต.!F54+บช.ก.!F38+บช.ส.!F22+สตม.!F33+บช.ตชด.!F82+สพฐ.ตร.!F25+สทส.!F27+บช.ศ.!F37+รพ.ตร.!F21+สกบ.!F54+สกพ.!F18+กมค.!F24+บ.ตร.!F29)</f>
        <v>1613643200</v>
      </c>
      <c r="G38" s="415" t="s">
        <v>62</v>
      </c>
      <c r="H38" s="415"/>
      <c r="I38" s="375"/>
      <c r="J38" s="620">
        <f>SUM(บช.น.!A31+ภ.1!A22+ภ.2!A29+ภ.3!A21+ภ.4!A25+ภ.5!A36+ภ.6!A33+ภ.7!A19+ภ.8!A35+ภ.9!A25+ศชต.!A54+บช.ก.!A38+บช.ปส.!A43+บช.ส.!A22+สตม.!A33+บช.ตชด.!A82+สง.นรป.!A17+สพฐ.ตร.!A25+สทส.!A27+บช.ศ.!A37+รร.นรต.!A22+รพ.ตร.!A21+สยศ.ตร.!A18+สกบ.!A54+สกพ.!A18+สงป.!A17+กมค.!A24+สง.ก.ตร.!A20+จต.!A17+สตส.!A17+สลก.ตร.!A23+ตท.!A25+สท.!A23+สง.ก.ต.ช.!A17+บ.ตร.!A29+วน.!A19)</f>
        <v>141</v>
      </c>
      <c r="M38" s="375"/>
    </row>
    <row r="39" spans="1:44" s="77" customFormat="1" ht="22.5" thickBot="1" x14ac:dyDescent="0.55000000000000004">
      <c r="A39" s="483"/>
      <c r="B39" s="483"/>
      <c r="C39" s="483"/>
      <c r="D39" s="483"/>
      <c r="E39" s="461" t="s">
        <v>64</v>
      </c>
      <c r="F39" s="625"/>
      <c r="G39" s="626"/>
      <c r="H39" s="627"/>
      <c r="I39" s="119"/>
      <c r="J39" s="119"/>
      <c r="K39" s="484"/>
      <c r="L39" s="484"/>
      <c r="M39" s="119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</row>
    <row r="40" spans="1:44" s="77" customFormat="1" ht="22.5" thickTop="1" x14ac:dyDescent="0.5">
      <c r="A40" s="483"/>
      <c r="B40" s="483"/>
      <c r="C40" s="483"/>
      <c r="D40" s="483"/>
      <c r="E40" s="461" t="s">
        <v>65</v>
      </c>
      <c r="F40" s="624"/>
      <c r="G40" s="627"/>
      <c r="H40" s="627"/>
      <c r="I40" s="119"/>
      <c r="J40" s="119"/>
      <c r="K40" s="484"/>
      <c r="L40" s="484"/>
      <c r="M40" s="119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</row>
    <row r="41" spans="1:44" s="77" customFormat="1" x14ac:dyDescent="0.5">
      <c r="A41" s="483"/>
      <c r="B41" s="483"/>
      <c r="C41" s="483"/>
      <c r="D41" s="483"/>
      <c r="E41" s="461" t="s">
        <v>66</v>
      </c>
      <c r="F41" s="624"/>
      <c r="G41" s="627"/>
      <c r="H41" s="627"/>
      <c r="I41" s="119"/>
      <c r="J41" s="119"/>
      <c r="K41" s="484"/>
      <c r="L41" s="484"/>
      <c r="M41" s="119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</row>
    <row r="42" spans="1:44" s="77" customFormat="1" x14ac:dyDescent="0.5">
      <c r="A42" s="483"/>
      <c r="B42" s="483"/>
      <c r="C42" s="483"/>
      <c r="D42" s="483"/>
      <c r="E42" s="461" t="s">
        <v>67</v>
      </c>
      <c r="F42" s="624"/>
      <c r="G42" s="627"/>
      <c r="H42" s="627"/>
      <c r="I42" s="119"/>
      <c r="J42" s="119"/>
      <c r="K42" s="484"/>
      <c r="L42" s="484"/>
      <c r="M42" s="119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</row>
    <row r="43" spans="1:44" x14ac:dyDescent="0.5">
      <c r="E43" s="461"/>
      <c r="F43" s="624"/>
      <c r="G43" s="627"/>
      <c r="H43" s="627"/>
    </row>
  </sheetData>
  <mergeCells count="20">
    <mergeCell ref="O5:O8"/>
    <mergeCell ref="F6:F8"/>
    <mergeCell ref="G6:G8"/>
    <mergeCell ref="H6:H8"/>
    <mergeCell ref="I5:I8"/>
    <mergeCell ref="J5:J8"/>
    <mergeCell ref="K5:K8"/>
    <mergeCell ref="L5:L8"/>
    <mergeCell ref="M5:M8"/>
    <mergeCell ref="N5:N8"/>
    <mergeCell ref="A1:M1"/>
    <mergeCell ref="A2:M2"/>
    <mergeCell ref="A3:M3"/>
    <mergeCell ref="F4:G4"/>
    <mergeCell ref="A5:A8"/>
    <mergeCell ref="B5:B8"/>
    <mergeCell ref="C5:C8"/>
    <mergeCell ref="D5:D8"/>
    <mergeCell ref="E5:E8"/>
    <mergeCell ref="F5:H5"/>
  </mergeCells>
  <pageMargins left="0.51181102362204722" right="0.51181102362204722" top="0.74803149606299213" bottom="0.74803149606299213" header="0.31496062992125984" footer="0.31496062992125984"/>
  <pageSetup paperSize="9" scale="82" orientation="landscape" blackAndWhite="1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topLeftCell="A28" zoomScaleNormal="100" zoomScaleSheetLayoutView="100" workbookViewId="0">
      <selection activeCell="F8" sqref="F8"/>
    </sheetView>
  </sheetViews>
  <sheetFormatPr defaultColWidth="9.140625" defaultRowHeight="24" x14ac:dyDescent="0.55000000000000004"/>
  <cols>
    <col min="1" max="1" width="9.140625" style="37"/>
    <col min="2" max="2" width="16.140625" style="187" customWidth="1"/>
    <col min="3" max="3" width="18.140625" style="34" customWidth="1"/>
    <col min="4" max="4" width="7" style="35" customWidth="1"/>
    <col min="5" max="5" width="16.5703125" style="34" customWidth="1"/>
    <col min="6" max="6" width="7.42578125" style="35" customWidth="1"/>
    <col min="7" max="7" width="19.140625" style="34" customWidth="1"/>
    <col min="8" max="8" width="6.85546875" style="35" customWidth="1"/>
    <col min="9" max="9" width="14.140625" style="35" bestFit="1" customWidth="1"/>
    <col min="10" max="16384" width="9.140625" style="35"/>
  </cols>
  <sheetData>
    <row r="1" spans="1:11" s="37" customFormat="1" x14ac:dyDescent="0.55000000000000004">
      <c r="A1" s="672" t="s">
        <v>610</v>
      </c>
      <c r="B1" s="672"/>
      <c r="C1" s="672"/>
      <c r="D1" s="672"/>
      <c r="E1" s="672"/>
      <c r="F1" s="672"/>
      <c r="G1" s="672"/>
      <c r="H1" s="672"/>
    </row>
    <row r="2" spans="1:11" s="37" customFormat="1" x14ac:dyDescent="0.55000000000000004">
      <c r="A2" s="672" t="s">
        <v>611</v>
      </c>
      <c r="B2" s="672"/>
      <c r="C2" s="672"/>
      <c r="D2" s="672"/>
      <c r="E2" s="672"/>
      <c r="F2" s="672"/>
      <c r="G2" s="672"/>
      <c r="H2" s="672"/>
    </row>
    <row r="3" spans="1:11" s="125" customFormat="1" x14ac:dyDescent="0.55000000000000004">
      <c r="A3" s="445"/>
      <c r="B3" s="451"/>
      <c r="C3" s="143"/>
      <c r="D3" s="451"/>
      <c r="E3" s="143"/>
      <c r="F3" s="451"/>
      <c r="G3" s="143"/>
      <c r="H3" s="451"/>
      <c r="I3" s="451"/>
      <c r="J3" s="451"/>
      <c r="K3" s="451"/>
    </row>
    <row r="4" spans="1:11" s="180" customFormat="1" ht="48.75" customHeight="1" x14ac:dyDescent="0.2">
      <c r="A4" s="70" t="s">
        <v>1</v>
      </c>
      <c r="B4" s="692" t="s">
        <v>563</v>
      </c>
      <c r="C4" s="693"/>
      <c r="D4" s="178" t="s">
        <v>546</v>
      </c>
      <c r="E4" s="453" t="s">
        <v>612</v>
      </c>
      <c r="F4" s="178" t="s">
        <v>546</v>
      </c>
      <c r="G4" s="454" t="s">
        <v>3</v>
      </c>
      <c r="H4" s="178" t="s">
        <v>546</v>
      </c>
      <c r="I4" s="447"/>
      <c r="J4" s="447"/>
      <c r="K4" s="447"/>
    </row>
    <row r="5" spans="1:11" s="151" customFormat="1" x14ac:dyDescent="0.55000000000000004">
      <c r="A5" s="199" t="s">
        <v>6</v>
      </c>
      <c r="B5" s="190" t="s">
        <v>5</v>
      </c>
      <c r="C5" s="191">
        <f t="shared" ref="C5:D8" si="0">+E5+G5</f>
        <v>14135900</v>
      </c>
      <c r="D5" s="194">
        <f t="shared" si="0"/>
        <v>7</v>
      </c>
      <c r="E5" s="204">
        <f>+E6+E7</f>
        <v>14085900</v>
      </c>
      <c r="F5" s="194">
        <f>+F6+F7</f>
        <v>6</v>
      </c>
      <c r="G5" s="191">
        <f>+G6+G7</f>
        <v>50000</v>
      </c>
      <c r="H5" s="194">
        <f>+H6+H7</f>
        <v>1</v>
      </c>
      <c r="I5" s="445">
        <f>+D5+D10+D15+D20+D25+D30+D35+D40+D45+D50+D55+D60+D65+D70+D75+D80+D85+D90+D95+D100+D105+D110+D115+D120+D125+D130+D135+D140+D145+D150+D155+D160+D165+D170+D175</f>
        <v>316</v>
      </c>
      <c r="J5" s="445"/>
      <c r="K5" s="189">
        <f>+K6+K7</f>
        <v>316</v>
      </c>
    </row>
    <row r="6" spans="1:11" s="125" customFormat="1" x14ac:dyDescent="0.55000000000000004">
      <c r="A6" s="200"/>
      <c r="B6" s="203" t="s">
        <v>53</v>
      </c>
      <c r="C6" s="192">
        <f t="shared" si="0"/>
        <v>0</v>
      </c>
      <c r="D6" s="133">
        <f t="shared" si="0"/>
        <v>7</v>
      </c>
      <c r="E6" s="205">
        <f>+Sheet2!E20</f>
        <v>0</v>
      </c>
      <c r="F6" s="133">
        <v>6</v>
      </c>
      <c r="G6" s="192">
        <f>+Sheet2!M20</f>
        <v>0</v>
      </c>
      <c r="H6" s="133">
        <v>1</v>
      </c>
      <c r="I6" s="188">
        <f>+F6+F11+F16+F21+F26+F31+F36+F41+F46+F51+F56+F61+F66+F71+F76+F81+F86+F91+F96+F101+F106+F111+F116+F121+F126+F131+F136+F141+F146+F151+F156+F161+F166+F171+F176</f>
        <v>226</v>
      </c>
      <c r="J6" s="188">
        <f>+H6+H11+H16+H21+H26+H31+H36+H41+H46+H51+H56+H61+H66+H71+H76+H81+H86+H91+H96+H101+H106+H111+H116+H121+H126+H131+H136+H141+H146+H151+H156+H161+H166+H171+H176</f>
        <v>39</v>
      </c>
      <c r="K6" s="188">
        <f>+I6+J6</f>
        <v>265</v>
      </c>
    </row>
    <row r="7" spans="1:11" s="125" customFormat="1" x14ac:dyDescent="0.55000000000000004">
      <c r="A7" s="200"/>
      <c r="B7" s="203" t="s">
        <v>66</v>
      </c>
      <c r="C7" s="192">
        <f t="shared" si="0"/>
        <v>14135900</v>
      </c>
      <c r="D7" s="193">
        <f t="shared" si="0"/>
        <v>0</v>
      </c>
      <c r="E7" s="205">
        <f>+Sheet2!G20</f>
        <v>14085900</v>
      </c>
      <c r="F7" s="193">
        <v>0</v>
      </c>
      <c r="G7" s="192">
        <f>+Sheet2!O20</f>
        <v>50000</v>
      </c>
      <c r="H7" s="211">
        <v>0</v>
      </c>
      <c r="I7" s="188">
        <f>+F7+F12+F17+F22+F27+F32+F37+F42+F47+F52+F57+F62+F67+F72+F77+F82+F87+F92+F97+F102+F107+F112+F117+F122+F127+F132+F137+F142+F147+F152+F157+F162+F167+F172+F177</f>
        <v>36</v>
      </c>
      <c r="J7" s="188">
        <f>+H7+H12+H17+H22+H27+H32+H37+H42+H47+H52+H57+H62+H67+H72+H77+H82+H87+H92+H97+H102+H107+H112+H117+H122+H127+H132+H137+H142+H147+H152+H157+H162+H167+H172+H177</f>
        <v>15</v>
      </c>
      <c r="K7" s="188">
        <f>+I7+J7</f>
        <v>51</v>
      </c>
    </row>
    <row r="8" spans="1:11" s="213" customFormat="1" x14ac:dyDescent="0.55000000000000004">
      <c r="A8" s="214"/>
      <c r="B8" s="207" t="s">
        <v>67</v>
      </c>
      <c r="C8" s="208">
        <f t="shared" si="0"/>
        <v>0</v>
      </c>
      <c r="D8" s="209">
        <f t="shared" si="0"/>
        <v>5</v>
      </c>
      <c r="E8" s="210">
        <f>+Sheet2!I20</f>
        <v>0</v>
      </c>
      <c r="F8" s="209">
        <v>5</v>
      </c>
      <c r="G8" s="208">
        <f>+Sheet2!Q20</f>
        <v>0</v>
      </c>
      <c r="H8" s="211">
        <v>0</v>
      </c>
      <c r="I8" s="212">
        <f>+F8+F13+F18+F23+F28+F33+F38+F43+F48+F53+F58+F63+F68+F73+F78+F83+F88+F93+F98+F103+F108+F113+F118+F123+F128+F133+F138+F143+F148+F153+F158+F163+F168+F173+F178</f>
        <v>120</v>
      </c>
      <c r="J8" s="212">
        <f>+H8+H13+H18+H23+H28+H33+H38+H43+H48+H53+H58+H63+H68+H73+H78+H83+H88+H93+H98+H103+H108+H113+H118+H123+H128+H133+H138+H143+H148+H153+H158+H163+H168+H173+H178</f>
        <v>6</v>
      </c>
      <c r="K8" s="212">
        <f>+I8+J8</f>
        <v>126</v>
      </c>
    </row>
    <row r="9" spans="1:11" s="151" customFormat="1" x14ac:dyDescent="0.55000000000000004">
      <c r="A9" s="201"/>
      <c r="B9" s="216" t="s">
        <v>548</v>
      </c>
      <c r="C9" s="217">
        <f>+C8*100/C5</f>
        <v>0</v>
      </c>
      <c r="D9" s="218"/>
      <c r="E9" s="219"/>
      <c r="F9" s="218"/>
      <c r="G9" s="217"/>
      <c r="H9" s="218"/>
      <c r="I9" s="445" t="s">
        <v>2</v>
      </c>
      <c r="J9" s="445" t="s">
        <v>3</v>
      </c>
      <c r="K9" s="445"/>
    </row>
    <row r="10" spans="1:11" s="125" customFormat="1" x14ac:dyDescent="0.55000000000000004">
      <c r="A10" s="199" t="s">
        <v>7</v>
      </c>
      <c r="B10" s="190" t="s">
        <v>5</v>
      </c>
      <c r="C10" s="191">
        <f t="shared" ref="C10:D13" si="1">+E10+G10</f>
        <v>3685100</v>
      </c>
      <c r="D10" s="194">
        <f t="shared" si="1"/>
        <v>13</v>
      </c>
      <c r="E10" s="204">
        <f>+E11+E12</f>
        <v>3235100</v>
      </c>
      <c r="F10" s="194">
        <f>+F11+F12</f>
        <v>7</v>
      </c>
      <c r="G10" s="191">
        <f>+G11+G12</f>
        <v>450000</v>
      </c>
      <c r="H10" s="194">
        <f>+H11+H12</f>
        <v>6</v>
      </c>
      <c r="I10" s="451"/>
      <c r="J10" s="451"/>
      <c r="K10" s="451"/>
    </row>
    <row r="11" spans="1:11" s="125" customFormat="1" x14ac:dyDescent="0.55000000000000004">
      <c r="A11" s="200"/>
      <c r="B11" s="203" t="s">
        <v>53</v>
      </c>
      <c r="C11" s="192">
        <f t="shared" si="1"/>
        <v>0</v>
      </c>
      <c r="D11" s="133">
        <f t="shared" si="1"/>
        <v>13</v>
      </c>
      <c r="E11" s="205">
        <f>+Sheet2!E21</f>
        <v>0</v>
      </c>
      <c r="F11" s="133">
        <v>7</v>
      </c>
      <c r="G11" s="192">
        <f>+Sheet2!M21</f>
        <v>0</v>
      </c>
      <c r="H11" s="133">
        <v>6</v>
      </c>
      <c r="I11" s="451"/>
      <c r="J11" s="451"/>
      <c r="K11" s="451"/>
    </row>
    <row r="12" spans="1:11" x14ac:dyDescent="0.55000000000000004">
      <c r="A12" s="200"/>
      <c r="B12" s="203" t="s">
        <v>66</v>
      </c>
      <c r="C12" s="192">
        <f t="shared" si="1"/>
        <v>3685100</v>
      </c>
      <c r="D12" s="193">
        <f t="shared" si="1"/>
        <v>0</v>
      </c>
      <c r="E12" s="205">
        <f>+Sheet2!G21</f>
        <v>3235100</v>
      </c>
      <c r="F12" s="193">
        <v>0</v>
      </c>
      <c r="G12" s="192">
        <f>+Sheet2!O21</f>
        <v>450000</v>
      </c>
      <c r="H12" s="211">
        <v>0</v>
      </c>
    </row>
    <row r="13" spans="1:11" s="90" customFormat="1" x14ac:dyDescent="0.55000000000000004">
      <c r="A13" s="214"/>
      <c r="B13" s="207" t="s">
        <v>67</v>
      </c>
      <c r="C13" s="208">
        <f t="shared" si="1"/>
        <v>0</v>
      </c>
      <c r="D13" s="209">
        <f t="shared" si="1"/>
        <v>4</v>
      </c>
      <c r="E13" s="210">
        <f>+Sheet2!I21</f>
        <v>0</v>
      </c>
      <c r="F13" s="209">
        <v>3</v>
      </c>
      <c r="G13" s="208">
        <f>+Sheet2!Q21</f>
        <v>0</v>
      </c>
      <c r="H13" s="209">
        <v>1</v>
      </c>
    </row>
    <row r="14" spans="1:11" x14ac:dyDescent="0.55000000000000004">
      <c r="A14" s="201"/>
      <c r="B14" s="216" t="s">
        <v>548</v>
      </c>
      <c r="C14" s="217">
        <f>+C13*100/C10</f>
        <v>0</v>
      </c>
      <c r="D14" s="196"/>
      <c r="E14" s="206"/>
      <c r="F14" s="196"/>
      <c r="G14" s="195"/>
      <c r="H14" s="196"/>
    </row>
    <row r="15" spans="1:11" s="125" customFormat="1" x14ac:dyDescent="0.55000000000000004">
      <c r="A15" s="199" t="s">
        <v>8</v>
      </c>
      <c r="B15" s="190" t="s">
        <v>5</v>
      </c>
      <c r="C15" s="191">
        <f t="shared" ref="C15:D18" si="2">+E15+G15</f>
        <v>14145400</v>
      </c>
      <c r="D15" s="194">
        <f t="shared" si="2"/>
        <v>8</v>
      </c>
      <c r="E15" s="204">
        <f>+E16+E17</f>
        <v>3636400</v>
      </c>
      <c r="F15" s="194">
        <f>+F16+F17</f>
        <v>7</v>
      </c>
      <c r="G15" s="191">
        <f>+G16+G17</f>
        <v>10509000</v>
      </c>
      <c r="H15" s="194">
        <f>+H16+H17</f>
        <v>1</v>
      </c>
      <c r="I15" s="188"/>
      <c r="J15" s="451"/>
      <c r="K15" s="451"/>
    </row>
    <row r="16" spans="1:11" s="125" customFormat="1" x14ac:dyDescent="0.55000000000000004">
      <c r="A16" s="200"/>
      <c r="B16" s="203" t="s">
        <v>53</v>
      </c>
      <c r="C16" s="192">
        <f t="shared" si="2"/>
        <v>0</v>
      </c>
      <c r="D16" s="133">
        <f t="shared" si="2"/>
        <v>8</v>
      </c>
      <c r="E16" s="205">
        <f>+Sheet2!E22</f>
        <v>0</v>
      </c>
      <c r="F16" s="133">
        <v>7</v>
      </c>
      <c r="G16" s="192">
        <f>+Sheet2!M22</f>
        <v>0</v>
      </c>
      <c r="H16" s="133">
        <v>1</v>
      </c>
      <c r="I16" s="451"/>
      <c r="J16" s="451"/>
      <c r="K16" s="451"/>
    </row>
    <row r="17" spans="1:8" x14ac:dyDescent="0.55000000000000004">
      <c r="A17" s="200"/>
      <c r="B17" s="203" t="s">
        <v>66</v>
      </c>
      <c r="C17" s="192">
        <f t="shared" si="2"/>
        <v>14145400</v>
      </c>
      <c r="D17" s="193">
        <f t="shared" si="2"/>
        <v>0</v>
      </c>
      <c r="E17" s="205">
        <f>+Sheet2!G22</f>
        <v>3636400</v>
      </c>
      <c r="F17" s="193">
        <v>0</v>
      </c>
      <c r="G17" s="192">
        <f>+Sheet2!O22</f>
        <v>10509000</v>
      </c>
      <c r="H17" s="193">
        <v>0</v>
      </c>
    </row>
    <row r="18" spans="1:8" s="90" customFormat="1" x14ac:dyDescent="0.55000000000000004">
      <c r="A18" s="214"/>
      <c r="B18" s="207" t="s">
        <v>67</v>
      </c>
      <c r="C18" s="208">
        <f t="shared" si="2"/>
        <v>0</v>
      </c>
      <c r="D18" s="209">
        <f t="shared" si="2"/>
        <v>5</v>
      </c>
      <c r="E18" s="210">
        <f>+Sheet2!I22</f>
        <v>0</v>
      </c>
      <c r="F18" s="209">
        <v>4</v>
      </c>
      <c r="G18" s="208">
        <f>+Sheet2!Q22</f>
        <v>0</v>
      </c>
      <c r="H18" s="209">
        <v>1</v>
      </c>
    </row>
    <row r="19" spans="1:8" x14ac:dyDescent="0.55000000000000004">
      <c r="A19" s="201"/>
      <c r="B19" s="216" t="s">
        <v>548</v>
      </c>
      <c r="C19" s="217">
        <f>+C18*100/C15</f>
        <v>0</v>
      </c>
      <c r="D19" s="196"/>
      <c r="E19" s="206"/>
      <c r="F19" s="196"/>
      <c r="G19" s="195"/>
      <c r="H19" s="196"/>
    </row>
    <row r="20" spans="1:8" s="125" customFormat="1" x14ac:dyDescent="0.55000000000000004">
      <c r="A20" s="199" t="s">
        <v>9</v>
      </c>
      <c r="B20" s="190" t="s">
        <v>5</v>
      </c>
      <c r="C20" s="191">
        <f t="shared" ref="C20:D23" si="3">+E20+G20</f>
        <v>14509300</v>
      </c>
      <c r="D20" s="194">
        <f t="shared" si="3"/>
        <v>10</v>
      </c>
      <c r="E20" s="204">
        <f>+E21+E22</f>
        <v>391200</v>
      </c>
      <c r="F20" s="197">
        <f>+F21+F22</f>
        <v>7</v>
      </c>
      <c r="G20" s="191">
        <f>+G21+G22</f>
        <v>14118100</v>
      </c>
      <c r="H20" s="197">
        <f>+H21+H22</f>
        <v>3</v>
      </c>
    </row>
    <row r="21" spans="1:8" s="125" customFormat="1" x14ac:dyDescent="0.55000000000000004">
      <c r="A21" s="200"/>
      <c r="B21" s="203" t="s">
        <v>53</v>
      </c>
      <c r="C21" s="192">
        <f t="shared" si="3"/>
        <v>0</v>
      </c>
      <c r="D21" s="133">
        <f t="shared" si="3"/>
        <v>10</v>
      </c>
      <c r="E21" s="205">
        <f>+Sheet2!E23</f>
        <v>0</v>
      </c>
      <c r="F21" s="133">
        <v>7</v>
      </c>
      <c r="G21" s="192">
        <f>+Sheet2!M23</f>
        <v>0</v>
      </c>
      <c r="H21" s="133">
        <v>3</v>
      </c>
    </row>
    <row r="22" spans="1:8" x14ac:dyDescent="0.55000000000000004">
      <c r="A22" s="200"/>
      <c r="B22" s="203" t="s">
        <v>66</v>
      </c>
      <c r="C22" s="192">
        <f t="shared" si="3"/>
        <v>14509300</v>
      </c>
      <c r="D22" s="193">
        <f t="shared" si="3"/>
        <v>0</v>
      </c>
      <c r="E22" s="205">
        <f>+Sheet2!G23</f>
        <v>391200</v>
      </c>
      <c r="F22" s="193">
        <v>0</v>
      </c>
      <c r="G22" s="192">
        <f>+Sheet2!O23</f>
        <v>14118100</v>
      </c>
      <c r="H22" s="193">
        <v>0</v>
      </c>
    </row>
    <row r="23" spans="1:8" s="90" customFormat="1" x14ac:dyDescent="0.55000000000000004">
      <c r="A23" s="214"/>
      <c r="B23" s="207" t="s">
        <v>67</v>
      </c>
      <c r="C23" s="208">
        <f t="shared" si="3"/>
        <v>0</v>
      </c>
      <c r="D23" s="209">
        <f t="shared" si="3"/>
        <v>6</v>
      </c>
      <c r="E23" s="210">
        <f>+Sheet2!I23</f>
        <v>0</v>
      </c>
      <c r="F23" s="209">
        <v>5</v>
      </c>
      <c r="G23" s="208">
        <f>+Sheet2!Q23</f>
        <v>0</v>
      </c>
      <c r="H23" s="209">
        <v>1</v>
      </c>
    </row>
    <row r="24" spans="1:8" x14ac:dyDescent="0.55000000000000004">
      <c r="A24" s="201"/>
      <c r="B24" s="216" t="s">
        <v>548</v>
      </c>
      <c r="C24" s="217">
        <f>+C23*100/C20</f>
        <v>0</v>
      </c>
      <c r="D24" s="196"/>
      <c r="E24" s="206"/>
      <c r="F24" s="196"/>
      <c r="G24" s="195"/>
      <c r="H24" s="196"/>
    </row>
    <row r="25" spans="1:8" s="125" customFormat="1" x14ac:dyDescent="0.55000000000000004">
      <c r="A25" s="199" t="s">
        <v>10</v>
      </c>
      <c r="B25" s="190" t="s">
        <v>5</v>
      </c>
      <c r="C25" s="191" t="e">
        <f t="shared" ref="C25:D28" si="4">+E25+G25</f>
        <v>#VALUE!</v>
      </c>
      <c r="D25" s="194">
        <f t="shared" si="4"/>
        <v>10</v>
      </c>
      <c r="E25" s="204">
        <f>+E26+E27</f>
        <v>6214300</v>
      </c>
      <c r="F25" s="194">
        <f>+F26+F27</f>
        <v>8</v>
      </c>
      <c r="G25" s="191" t="e">
        <f>+G26+G27</f>
        <v>#VALUE!</v>
      </c>
      <c r="H25" s="194">
        <f>+H26+H27</f>
        <v>2</v>
      </c>
    </row>
    <row r="26" spans="1:8" s="125" customFormat="1" x14ac:dyDescent="0.55000000000000004">
      <c r="A26" s="200"/>
      <c r="B26" s="203" t="s">
        <v>53</v>
      </c>
      <c r="C26" s="192" t="e">
        <f t="shared" si="4"/>
        <v>#VALUE!</v>
      </c>
      <c r="D26" s="133">
        <f t="shared" si="4"/>
        <v>10</v>
      </c>
      <c r="E26" s="205">
        <f>+Sheet2!E24</f>
        <v>0</v>
      </c>
      <c r="F26" s="133">
        <v>8</v>
      </c>
      <c r="G26" s="192" t="str">
        <f>+Sheet2!M24</f>
        <v>29 พ.ค.57 แต่งตั้งคณะกรรมการสอบราคา</v>
      </c>
      <c r="H26" s="133">
        <v>2</v>
      </c>
    </row>
    <row r="27" spans="1:8" x14ac:dyDescent="0.55000000000000004">
      <c r="A27" s="200"/>
      <c r="B27" s="203" t="s">
        <v>66</v>
      </c>
      <c r="C27" s="192" t="e">
        <f t="shared" si="4"/>
        <v>#VALUE!</v>
      </c>
      <c r="D27" s="193">
        <f t="shared" si="4"/>
        <v>0</v>
      </c>
      <c r="E27" s="205">
        <f>+Sheet2!G24</f>
        <v>6214300</v>
      </c>
      <c r="F27" s="211">
        <v>0</v>
      </c>
      <c r="G27" s="192" t="e">
        <f>+Sheet2!O24</f>
        <v>#VALUE!</v>
      </c>
      <c r="H27" s="193">
        <v>0</v>
      </c>
    </row>
    <row r="28" spans="1:8" s="90" customFormat="1" x14ac:dyDescent="0.55000000000000004">
      <c r="A28" s="214"/>
      <c r="B28" s="207" t="s">
        <v>67</v>
      </c>
      <c r="C28" s="208">
        <f t="shared" si="4"/>
        <v>0</v>
      </c>
      <c r="D28" s="209">
        <f t="shared" si="4"/>
        <v>5</v>
      </c>
      <c r="E28" s="210">
        <f>+Sheet2!I24</f>
        <v>0</v>
      </c>
      <c r="F28" s="209">
        <v>5</v>
      </c>
      <c r="G28" s="208">
        <f>+Sheet2!Q24</f>
        <v>0</v>
      </c>
      <c r="H28" s="211">
        <v>0</v>
      </c>
    </row>
    <row r="29" spans="1:8" x14ac:dyDescent="0.55000000000000004">
      <c r="A29" s="201"/>
      <c r="B29" s="216" t="s">
        <v>548</v>
      </c>
      <c r="C29" s="217" t="e">
        <f>+C28*100/C25</f>
        <v>#VALUE!</v>
      </c>
      <c r="D29" s="196"/>
      <c r="E29" s="206"/>
      <c r="F29" s="196"/>
      <c r="G29" s="195"/>
      <c r="H29" s="196"/>
    </row>
    <row r="30" spans="1:8" s="125" customFormat="1" x14ac:dyDescent="0.55000000000000004">
      <c r="A30" s="199" t="s">
        <v>11</v>
      </c>
      <c r="B30" s="190" t="s">
        <v>5</v>
      </c>
      <c r="C30" s="191">
        <f t="shared" ref="C30:D33" si="5">+E30+G30</f>
        <v>158442300</v>
      </c>
      <c r="D30" s="194">
        <f t="shared" si="5"/>
        <v>11</v>
      </c>
      <c r="E30" s="204">
        <f>+E31+E32</f>
        <v>28994100</v>
      </c>
      <c r="F30" s="194">
        <f>+F31+F32</f>
        <v>8</v>
      </c>
      <c r="G30" s="191">
        <f>+G31+G32</f>
        <v>129448200</v>
      </c>
      <c r="H30" s="197">
        <f>+H31+H32</f>
        <v>3</v>
      </c>
    </row>
    <row r="31" spans="1:8" s="125" customFormat="1" x14ac:dyDescent="0.55000000000000004">
      <c r="A31" s="200"/>
      <c r="B31" s="203" t="s">
        <v>53</v>
      </c>
      <c r="C31" s="192">
        <f t="shared" si="5"/>
        <v>0</v>
      </c>
      <c r="D31" s="133">
        <f t="shared" si="5"/>
        <v>10</v>
      </c>
      <c r="E31" s="205">
        <f>+Sheet2!E25</f>
        <v>0</v>
      </c>
      <c r="F31" s="133">
        <v>8</v>
      </c>
      <c r="G31" s="192">
        <f>+Sheet2!M25</f>
        <v>0</v>
      </c>
      <c r="H31" s="133">
        <v>2</v>
      </c>
    </row>
    <row r="32" spans="1:8" x14ac:dyDescent="0.55000000000000004">
      <c r="A32" s="200"/>
      <c r="B32" s="203" t="s">
        <v>66</v>
      </c>
      <c r="C32" s="192">
        <f t="shared" si="5"/>
        <v>158442300</v>
      </c>
      <c r="D32" s="133">
        <f t="shared" si="5"/>
        <v>1</v>
      </c>
      <c r="E32" s="205">
        <f>+Sheet2!G25</f>
        <v>28994100</v>
      </c>
      <c r="F32" s="211">
        <v>0</v>
      </c>
      <c r="G32" s="192">
        <f>+Sheet2!O25</f>
        <v>129448200</v>
      </c>
      <c r="H32" s="133">
        <v>1</v>
      </c>
    </row>
    <row r="33" spans="1:8" s="90" customFormat="1" x14ac:dyDescent="0.55000000000000004">
      <c r="A33" s="214"/>
      <c r="B33" s="207" t="s">
        <v>67</v>
      </c>
      <c r="C33" s="208">
        <f t="shared" si="5"/>
        <v>0</v>
      </c>
      <c r="D33" s="209">
        <f t="shared" si="5"/>
        <v>3</v>
      </c>
      <c r="E33" s="210">
        <f>+Sheet2!I25</f>
        <v>0</v>
      </c>
      <c r="F33" s="209">
        <v>3</v>
      </c>
      <c r="G33" s="208">
        <f>+Sheet2!Q25</f>
        <v>0</v>
      </c>
      <c r="H33" s="211">
        <v>0</v>
      </c>
    </row>
    <row r="34" spans="1:8" x14ac:dyDescent="0.55000000000000004">
      <c r="A34" s="201"/>
      <c r="B34" s="216" t="s">
        <v>548</v>
      </c>
      <c r="C34" s="217">
        <f>+C33*100/C30</f>
        <v>0</v>
      </c>
      <c r="D34" s="196"/>
      <c r="E34" s="206"/>
      <c r="F34" s="196"/>
      <c r="G34" s="195"/>
      <c r="H34" s="196"/>
    </row>
    <row r="35" spans="1:8" s="125" customFormat="1" x14ac:dyDescent="0.55000000000000004">
      <c r="A35" s="199" t="s">
        <v>12</v>
      </c>
      <c r="B35" s="190" t="s">
        <v>5</v>
      </c>
      <c r="C35" s="191">
        <f t="shared" ref="C35:D38" si="6">+E35+G35</f>
        <v>131311600</v>
      </c>
      <c r="D35" s="194">
        <f t="shared" si="6"/>
        <v>20</v>
      </c>
      <c r="E35" s="204">
        <f>+E36+E37</f>
        <v>13604100</v>
      </c>
      <c r="F35" s="194">
        <f>+F36+F37</f>
        <v>18</v>
      </c>
      <c r="G35" s="191">
        <f>+G36+G37</f>
        <v>117707500</v>
      </c>
      <c r="H35" s="197">
        <f>+H36+H37</f>
        <v>2</v>
      </c>
    </row>
    <row r="36" spans="1:8" s="125" customFormat="1" x14ac:dyDescent="0.55000000000000004">
      <c r="A36" s="200"/>
      <c r="B36" s="203" t="s">
        <v>53</v>
      </c>
      <c r="C36" s="192">
        <f t="shared" si="6"/>
        <v>0</v>
      </c>
      <c r="D36" s="133">
        <f t="shared" si="6"/>
        <v>19</v>
      </c>
      <c r="E36" s="205">
        <f>+Sheet2!E26</f>
        <v>0</v>
      </c>
      <c r="F36" s="133">
        <v>17</v>
      </c>
      <c r="G36" s="192">
        <f>+Sheet2!M26</f>
        <v>0</v>
      </c>
      <c r="H36" s="133">
        <v>2</v>
      </c>
    </row>
    <row r="37" spans="1:8" x14ac:dyDescent="0.55000000000000004">
      <c r="A37" s="200"/>
      <c r="B37" s="203" t="s">
        <v>66</v>
      </c>
      <c r="C37" s="192">
        <f t="shared" si="6"/>
        <v>131311600</v>
      </c>
      <c r="D37" s="133">
        <f t="shared" si="6"/>
        <v>1</v>
      </c>
      <c r="E37" s="205">
        <f>+Sheet2!G26</f>
        <v>13604100</v>
      </c>
      <c r="F37" s="133">
        <v>1</v>
      </c>
      <c r="G37" s="192">
        <f>+Sheet2!O26</f>
        <v>117707500</v>
      </c>
      <c r="H37" s="193">
        <v>0</v>
      </c>
    </row>
    <row r="38" spans="1:8" s="90" customFormat="1" x14ac:dyDescent="0.55000000000000004">
      <c r="A38" s="214"/>
      <c r="B38" s="207" t="s">
        <v>67</v>
      </c>
      <c r="C38" s="208">
        <f t="shared" si="6"/>
        <v>0</v>
      </c>
      <c r="D38" s="215">
        <f t="shared" si="6"/>
        <v>11</v>
      </c>
      <c r="E38" s="210">
        <f>+Sheet2!I26</f>
        <v>0</v>
      </c>
      <c r="F38" s="209">
        <v>11</v>
      </c>
      <c r="G38" s="208">
        <f>+Sheet2!Q26</f>
        <v>0</v>
      </c>
      <c r="H38" s="211">
        <v>0</v>
      </c>
    </row>
    <row r="39" spans="1:8" x14ac:dyDescent="0.55000000000000004">
      <c r="A39" s="202"/>
      <c r="B39" s="216" t="s">
        <v>548</v>
      </c>
      <c r="C39" s="217">
        <f>+C38*100/C35</f>
        <v>0</v>
      </c>
      <c r="D39" s="196"/>
      <c r="E39" s="206"/>
      <c r="F39" s="196"/>
      <c r="G39" s="195"/>
      <c r="H39" s="196"/>
    </row>
    <row r="40" spans="1:8" s="125" customFormat="1" x14ac:dyDescent="0.55000000000000004">
      <c r="A40" s="199" t="s">
        <v>13</v>
      </c>
      <c r="B40" s="190" t="s">
        <v>5</v>
      </c>
      <c r="C40" s="191">
        <f t="shared" ref="C40:D43" si="7">+E40+G40</f>
        <v>791200</v>
      </c>
      <c r="D40" s="194">
        <f t="shared" si="7"/>
        <v>12</v>
      </c>
      <c r="E40" s="204">
        <f>+E41+E42</f>
        <v>391200</v>
      </c>
      <c r="F40" s="194">
        <f>+F41+F42</f>
        <v>11</v>
      </c>
      <c r="G40" s="191">
        <f>+G41+G42</f>
        <v>400000</v>
      </c>
      <c r="H40" s="197">
        <f>+H41+H42</f>
        <v>1</v>
      </c>
    </row>
    <row r="41" spans="1:8" s="125" customFormat="1" x14ac:dyDescent="0.55000000000000004">
      <c r="A41" s="200"/>
      <c r="B41" s="203" t="s">
        <v>53</v>
      </c>
      <c r="C41" s="192">
        <f t="shared" si="7"/>
        <v>0</v>
      </c>
      <c r="D41" s="133">
        <f t="shared" si="7"/>
        <v>10</v>
      </c>
      <c r="E41" s="205">
        <f>+Sheet2!E27</f>
        <v>0</v>
      </c>
      <c r="F41" s="133">
        <v>10</v>
      </c>
      <c r="G41" s="192">
        <f>+Sheet2!M27</f>
        <v>0</v>
      </c>
      <c r="H41" s="193">
        <v>0</v>
      </c>
    </row>
    <row r="42" spans="1:8" x14ac:dyDescent="0.55000000000000004">
      <c r="A42" s="200"/>
      <c r="B42" s="203" t="s">
        <v>66</v>
      </c>
      <c r="C42" s="192">
        <f t="shared" si="7"/>
        <v>791200</v>
      </c>
      <c r="D42" s="133">
        <f t="shared" si="7"/>
        <v>2</v>
      </c>
      <c r="E42" s="205">
        <f>+Sheet2!G27</f>
        <v>391200</v>
      </c>
      <c r="F42" s="133">
        <v>1</v>
      </c>
      <c r="G42" s="192">
        <f>+Sheet2!O27</f>
        <v>400000</v>
      </c>
      <c r="H42" s="133">
        <v>1</v>
      </c>
    </row>
    <row r="43" spans="1:8" s="90" customFormat="1" x14ac:dyDescent="0.55000000000000004">
      <c r="A43" s="214"/>
      <c r="B43" s="207" t="s">
        <v>67</v>
      </c>
      <c r="C43" s="208">
        <f t="shared" si="7"/>
        <v>0</v>
      </c>
      <c r="D43" s="209">
        <f t="shared" si="7"/>
        <v>8</v>
      </c>
      <c r="E43" s="210">
        <f>+Sheet2!I27</f>
        <v>0</v>
      </c>
      <c r="F43" s="209">
        <v>8</v>
      </c>
      <c r="G43" s="208">
        <f>+Sheet2!Q27</f>
        <v>0</v>
      </c>
      <c r="H43" s="211">
        <v>0</v>
      </c>
    </row>
    <row r="44" spans="1:8" x14ac:dyDescent="0.55000000000000004">
      <c r="A44" s="202"/>
      <c r="B44" s="216" t="s">
        <v>548</v>
      </c>
      <c r="C44" s="217">
        <f>+C43*100/C40</f>
        <v>0</v>
      </c>
      <c r="D44" s="196"/>
      <c r="E44" s="206"/>
      <c r="F44" s="196"/>
      <c r="G44" s="195"/>
      <c r="H44" s="196"/>
    </row>
    <row r="45" spans="1:8" s="125" customFormat="1" x14ac:dyDescent="0.55000000000000004">
      <c r="A45" s="199" t="s">
        <v>14</v>
      </c>
      <c r="B45" s="190" t="s">
        <v>5</v>
      </c>
      <c r="C45" s="191">
        <f t="shared" ref="C45:D48" si="8">+E45+G45</f>
        <v>66866900</v>
      </c>
      <c r="D45" s="194">
        <f t="shared" si="8"/>
        <v>11</v>
      </c>
      <c r="E45" s="204">
        <f>+E46+E47</f>
        <v>8495200</v>
      </c>
      <c r="F45" s="194">
        <f>+F46+F47</f>
        <v>8</v>
      </c>
      <c r="G45" s="191">
        <f>+G46+G47</f>
        <v>58371700</v>
      </c>
      <c r="H45" s="194">
        <f>+H46+H47</f>
        <v>3</v>
      </c>
    </row>
    <row r="46" spans="1:8" s="125" customFormat="1" x14ac:dyDescent="0.55000000000000004">
      <c r="A46" s="200"/>
      <c r="B46" s="203" t="s">
        <v>53</v>
      </c>
      <c r="C46" s="192">
        <f t="shared" si="8"/>
        <v>0</v>
      </c>
      <c r="D46" s="133">
        <f t="shared" si="8"/>
        <v>5</v>
      </c>
      <c r="E46" s="205">
        <f>+Sheet2!E28</f>
        <v>0</v>
      </c>
      <c r="F46" s="133">
        <v>5</v>
      </c>
      <c r="G46" s="192">
        <f>+Sheet2!M28</f>
        <v>0</v>
      </c>
      <c r="H46" s="193">
        <v>0</v>
      </c>
    </row>
    <row r="47" spans="1:8" x14ac:dyDescent="0.55000000000000004">
      <c r="A47" s="200"/>
      <c r="B47" s="203" t="s">
        <v>66</v>
      </c>
      <c r="C47" s="192">
        <f t="shared" si="8"/>
        <v>66866900</v>
      </c>
      <c r="D47" s="133">
        <f t="shared" si="8"/>
        <v>6</v>
      </c>
      <c r="E47" s="205">
        <f>+Sheet2!G28</f>
        <v>8495200</v>
      </c>
      <c r="F47" s="133">
        <v>3</v>
      </c>
      <c r="G47" s="192">
        <f>+Sheet2!O28</f>
        <v>58371700</v>
      </c>
      <c r="H47" s="133">
        <v>3</v>
      </c>
    </row>
    <row r="48" spans="1:8" s="90" customFormat="1" x14ac:dyDescent="0.55000000000000004">
      <c r="A48" s="214"/>
      <c r="B48" s="207" t="s">
        <v>67</v>
      </c>
      <c r="C48" s="208">
        <f t="shared" si="8"/>
        <v>0</v>
      </c>
      <c r="D48" s="209">
        <f t="shared" si="8"/>
        <v>5</v>
      </c>
      <c r="E48" s="210">
        <f>+Sheet2!I28</f>
        <v>0</v>
      </c>
      <c r="F48" s="209">
        <v>5</v>
      </c>
      <c r="G48" s="208">
        <f>+Sheet2!Q28</f>
        <v>0</v>
      </c>
      <c r="H48" s="211">
        <v>0</v>
      </c>
    </row>
    <row r="49" spans="1:8" x14ac:dyDescent="0.55000000000000004">
      <c r="A49" s="202"/>
      <c r="B49" s="216" t="s">
        <v>548</v>
      </c>
      <c r="C49" s="217">
        <f>+C48*100/C45</f>
        <v>0</v>
      </c>
      <c r="D49" s="196"/>
      <c r="E49" s="206"/>
      <c r="F49" s="196"/>
      <c r="G49" s="195"/>
      <c r="H49" s="196"/>
    </row>
    <row r="50" spans="1:8" s="125" customFormat="1" x14ac:dyDescent="0.55000000000000004">
      <c r="A50" s="199" t="s">
        <v>15</v>
      </c>
      <c r="B50" s="190" t="s">
        <v>5</v>
      </c>
      <c r="C50" s="191">
        <f t="shared" ref="C50:D53" si="9">+E50+G50</f>
        <v>31886700</v>
      </c>
      <c r="D50" s="194">
        <f t="shared" si="9"/>
        <v>9</v>
      </c>
      <c r="E50" s="204">
        <f>+E51+E52</f>
        <v>6175600</v>
      </c>
      <c r="F50" s="194">
        <f>+F51+F52</f>
        <v>7</v>
      </c>
      <c r="G50" s="191">
        <f>+G51+G52</f>
        <v>25711100</v>
      </c>
      <c r="H50" s="194">
        <f>+H51+H52</f>
        <v>2</v>
      </c>
    </row>
    <row r="51" spans="1:8" s="125" customFormat="1" x14ac:dyDescent="0.55000000000000004">
      <c r="A51" s="200"/>
      <c r="B51" s="203" t="s">
        <v>53</v>
      </c>
      <c r="C51" s="192">
        <f t="shared" si="9"/>
        <v>0</v>
      </c>
      <c r="D51" s="133">
        <f t="shared" si="9"/>
        <v>9</v>
      </c>
      <c r="E51" s="205">
        <f>+Sheet2!E29</f>
        <v>0</v>
      </c>
      <c r="F51" s="133">
        <v>7</v>
      </c>
      <c r="G51" s="192">
        <f>+Sheet2!M29</f>
        <v>0</v>
      </c>
      <c r="H51" s="133">
        <v>2</v>
      </c>
    </row>
    <row r="52" spans="1:8" x14ac:dyDescent="0.55000000000000004">
      <c r="A52" s="200"/>
      <c r="B52" s="203" t="s">
        <v>66</v>
      </c>
      <c r="C52" s="192">
        <f t="shared" si="9"/>
        <v>31886700</v>
      </c>
      <c r="D52" s="193">
        <f t="shared" si="9"/>
        <v>0</v>
      </c>
      <c r="E52" s="205">
        <f>+Sheet2!G29</f>
        <v>6175600</v>
      </c>
      <c r="F52" s="193">
        <v>0</v>
      </c>
      <c r="G52" s="192">
        <f>+Sheet2!O29</f>
        <v>25711100</v>
      </c>
      <c r="H52" s="193">
        <v>0</v>
      </c>
    </row>
    <row r="53" spans="1:8" s="90" customFormat="1" x14ac:dyDescent="0.55000000000000004">
      <c r="A53" s="214"/>
      <c r="B53" s="207" t="s">
        <v>67</v>
      </c>
      <c r="C53" s="208">
        <f t="shared" si="9"/>
        <v>0</v>
      </c>
      <c r="D53" s="209">
        <f t="shared" si="9"/>
        <v>6</v>
      </c>
      <c r="E53" s="210">
        <f>+Sheet2!I29</f>
        <v>0</v>
      </c>
      <c r="F53" s="209">
        <v>6</v>
      </c>
      <c r="G53" s="208">
        <f>+Sheet2!Q29</f>
        <v>0</v>
      </c>
      <c r="H53" s="211">
        <v>0</v>
      </c>
    </row>
    <row r="54" spans="1:8" x14ac:dyDescent="0.55000000000000004">
      <c r="A54" s="202"/>
      <c r="B54" s="216" t="s">
        <v>548</v>
      </c>
      <c r="C54" s="217">
        <f>+C53*100/C50</f>
        <v>0</v>
      </c>
      <c r="D54" s="196"/>
      <c r="E54" s="206"/>
      <c r="F54" s="196"/>
      <c r="G54" s="195"/>
      <c r="H54" s="196"/>
    </row>
    <row r="55" spans="1:8" s="125" customFormat="1" x14ac:dyDescent="0.55000000000000004">
      <c r="A55" s="199" t="s">
        <v>16</v>
      </c>
      <c r="B55" s="190" t="s">
        <v>5</v>
      </c>
      <c r="C55" s="191">
        <f t="shared" ref="C55:D58" si="10">+E55+G55</f>
        <v>270272800</v>
      </c>
      <c r="D55" s="194">
        <f t="shared" si="10"/>
        <v>16</v>
      </c>
      <c r="E55" s="204">
        <f>+E56+E57</f>
        <v>54292700</v>
      </c>
      <c r="F55" s="194">
        <f>+F56+F57</f>
        <v>12</v>
      </c>
      <c r="G55" s="191">
        <f>+G56+G57</f>
        <v>215980100</v>
      </c>
      <c r="H55" s="194">
        <f>+H56+H57</f>
        <v>4</v>
      </c>
    </row>
    <row r="56" spans="1:8" s="125" customFormat="1" x14ac:dyDescent="0.55000000000000004">
      <c r="A56" s="200"/>
      <c r="B56" s="203" t="s">
        <v>53</v>
      </c>
      <c r="C56" s="192">
        <f t="shared" si="10"/>
        <v>0</v>
      </c>
      <c r="D56" s="133">
        <f t="shared" si="10"/>
        <v>16</v>
      </c>
      <c r="E56" s="205">
        <f>+Sheet2!E30</f>
        <v>0</v>
      </c>
      <c r="F56" s="133">
        <v>12</v>
      </c>
      <c r="G56" s="192">
        <f>+Sheet2!M30</f>
        <v>0</v>
      </c>
      <c r="H56" s="133">
        <v>4</v>
      </c>
    </row>
    <row r="57" spans="1:8" x14ac:dyDescent="0.55000000000000004">
      <c r="A57" s="200"/>
      <c r="B57" s="203" t="s">
        <v>66</v>
      </c>
      <c r="C57" s="192">
        <f t="shared" si="10"/>
        <v>270272800</v>
      </c>
      <c r="D57" s="193">
        <f t="shared" si="10"/>
        <v>0</v>
      </c>
      <c r="E57" s="205">
        <f>+Sheet2!G30</f>
        <v>54292700</v>
      </c>
      <c r="F57" s="193">
        <v>0</v>
      </c>
      <c r="G57" s="192">
        <f>+Sheet2!O30</f>
        <v>215980100</v>
      </c>
      <c r="H57" s="193">
        <v>0</v>
      </c>
    </row>
    <row r="58" spans="1:8" s="90" customFormat="1" x14ac:dyDescent="0.55000000000000004">
      <c r="A58" s="214"/>
      <c r="B58" s="207" t="s">
        <v>67</v>
      </c>
      <c r="C58" s="208">
        <f t="shared" si="10"/>
        <v>0</v>
      </c>
      <c r="D58" s="209">
        <f t="shared" si="10"/>
        <v>11</v>
      </c>
      <c r="E58" s="210">
        <f>+Sheet2!I30</f>
        <v>0</v>
      </c>
      <c r="F58" s="209">
        <v>11</v>
      </c>
      <c r="G58" s="208">
        <f>+Sheet2!Q30</f>
        <v>0</v>
      </c>
      <c r="H58" s="211">
        <v>0</v>
      </c>
    </row>
    <row r="59" spans="1:8" x14ac:dyDescent="0.55000000000000004">
      <c r="A59" s="202"/>
      <c r="B59" s="216" t="s">
        <v>548</v>
      </c>
      <c r="C59" s="217">
        <f>+C58*100/C55</f>
        <v>0</v>
      </c>
      <c r="D59" s="196"/>
      <c r="E59" s="206"/>
      <c r="F59" s="196"/>
      <c r="G59" s="195"/>
      <c r="H59" s="196"/>
    </row>
    <row r="60" spans="1:8" s="125" customFormat="1" x14ac:dyDescent="0.55000000000000004">
      <c r="A60" s="199" t="s">
        <v>17</v>
      </c>
      <c r="B60" s="190" t="s">
        <v>5</v>
      </c>
      <c r="C60" s="191">
        <f t="shared" ref="C60:D63" si="11">+E60+G60</f>
        <v>70911300</v>
      </c>
      <c r="D60" s="194">
        <f t="shared" si="11"/>
        <v>14</v>
      </c>
      <c r="E60" s="204">
        <f>+E61+E62</f>
        <v>62094300</v>
      </c>
      <c r="F60" s="194">
        <f>+F61+F62</f>
        <v>14</v>
      </c>
      <c r="G60" s="191">
        <f>+G61+G62</f>
        <v>8817000</v>
      </c>
      <c r="H60" s="198">
        <f>+H61+H62</f>
        <v>0</v>
      </c>
    </row>
    <row r="61" spans="1:8" s="125" customFormat="1" x14ac:dyDescent="0.55000000000000004">
      <c r="A61" s="200"/>
      <c r="B61" s="203" t="s">
        <v>53</v>
      </c>
      <c r="C61" s="192">
        <f t="shared" si="11"/>
        <v>0</v>
      </c>
      <c r="D61" s="133">
        <f t="shared" si="11"/>
        <v>14</v>
      </c>
      <c r="E61" s="205">
        <f>+Sheet2!E31</f>
        <v>0</v>
      </c>
      <c r="F61" s="133">
        <v>14</v>
      </c>
      <c r="G61" s="192">
        <f>+Sheet2!M31</f>
        <v>0</v>
      </c>
      <c r="H61" s="193">
        <v>0</v>
      </c>
    </row>
    <row r="62" spans="1:8" x14ac:dyDescent="0.55000000000000004">
      <c r="A62" s="200"/>
      <c r="B62" s="203" t="s">
        <v>66</v>
      </c>
      <c r="C62" s="192">
        <f t="shared" si="11"/>
        <v>70911300</v>
      </c>
      <c r="D62" s="193">
        <f t="shared" si="11"/>
        <v>0</v>
      </c>
      <c r="E62" s="205">
        <f>+Sheet2!G31</f>
        <v>62094300</v>
      </c>
      <c r="F62" s="193">
        <v>0</v>
      </c>
      <c r="G62" s="192">
        <f>+Sheet2!O31</f>
        <v>8817000</v>
      </c>
      <c r="H62" s="193">
        <v>0</v>
      </c>
    </row>
    <row r="63" spans="1:8" s="90" customFormat="1" x14ac:dyDescent="0.55000000000000004">
      <c r="A63" s="214"/>
      <c r="B63" s="207" t="s">
        <v>67</v>
      </c>
      <c r="C63" s="208">
        <f t="shared" si="11"/>
        <v>0</v>
      </c>
      <c r="D63" s="209">
        <f t="shared" si="11"/>
        <v>6</v>
      </c>
      <c r="E63" s="210">
        <f>+Sheet2!I31</f>
        <v>0</v>
      </c>
      <c r="F63" s="209">
        <v>6</v>
      </c>
      <c r="G63" s="208">
        <f>+Sheet2!Q31</f>
        <v>0</v>
      </c>
      <c r="H63" s="211">
        <v>0</v>
      </c>
    </row>
    <row r="64" spans="1:8" x14ac:dyDescent="0.55000000000000004">
      <c r="A64" s="202"/>
      <c r="B64" s="216" t="s">
        <v>548</v>
      </c>
      <c r="C64" s="217">
        <f>+C63*100/C60</f>
        <v>0</v>
      </c>
      <c r="D64" s="196"/>
      <c r="E64" s="206"/>
      <c r="F64" s="196"/>
      <c r="G64" s="195"/>
      <c r="H64" s="196"/>
    </row>
    <row r="65" spans="1:8" s="125" customFormat="1" x14ac:dyDescent="0.55000000000000004">
      <c r="A65" s="199" t="s">
        <v>253</v>
      </c>
      <c r="B65" s="190" t="s">
        <v>5</v>
      </c>
      <c r="C65" s="191">
        <f t="shared" ref="C65:D68" si="12">+E65+G65</f>
        <v>0</v>
      </c>
      <c r="D65" s="194">
        <f t="shared" si="12"/>
        <v>7</v>
      </c>
      <c r="E65" s="204">
        <f>+E66+E67</f>
        <v>0</v>
      </c>
      <c r="F65" s="194">
        <f>+F66+F67</f>
        <v>6</v>
      </c>
      <c r="G65" s="191">
        <f>+G66+G67</f>
        <v>0</v>
      </c>
      <c r="H65" s="194">
        <f>+H66+H67</f>
        <v>1</v>
      </c>
    </row>
    <row r="66" spans="1:8" s="125" customFormat="1" x14ac:dyDescent="0.55000000000000004">
      <c r="A66" s="200"/>
      <c r="B66" s="203" t="s">
        <v>53</v>
      </c>
      <c r="C66" s="192">
        <f t="shared" si="12"/>
        <v>0</v>
      </c>
      <c r="D66" s="133">
        <f t="shared" si="12"/>
        <v>7</v>
      </c>
      <c r="E66" s="205">
        <f>+Sheet2!E32</f>
        <v>0</v>
      </c>
      <c r="F66" s="133">
        <v>6</v>
      </c>
      <c r="G66" s="192">
        <f>+Sheet2!M32</f>
        <v>0</v>
      </c>
      <c r="H66" s="133">
        <v>1</v>
      </c>
    </row>
    <row r="67" spans="1:8" x14ac:dyDescent="0.55000000000000004">
      <c r="A67" s="200"/>
      <c r="B67" s="203" t="s">
        <v>66</v>
      </c>
      <c r="C67" s="192">
        <f t="shared" si="12"/>
        <v>0</v>
      </c>
      <c r="D67" s="193">
        <f t="shared" si="12"/>
        <v>0</v>
      </c>
      <c r="E67" s="205">
        <f>+Sheet2!G32</f>
        <v>0</v>
      </c>
      <c r="F67" s="193">
        <v>0</v>
      </c>
      <c r="G67" s="192">
        <f>+Sheet2!O32</f>
        <v>0</v>
      </c>
      <c r="H67" s="193">
        <v>0</v>
      </c>
    </row>
    <row r="68" spans="1:8" s="90" customFormat="1" x14ac:dyDescent="0.55000000000000004">
      <c r="A68" s="214"/>
      <c r="B68" s="207" t="s">
        <v>67</v>
      </c>
      <c r="C68" s="208">
        <f t="shared" si="12"/>
        <v>0</v>
      </c>
      <c r="D68" s="209">
        <f t="shared" si="12"/>
        <v>1</v>
      </c>
      <c r="E68" s="210">
        <f>+Sheet2!I32</f>
        <v>0</v>
      </c>
      <c r="F68" s="209">
        <v>1</v>
      </c>
      <c r="G68" s="208">
        <f>+Sheet2!Q32</f>
        <v>0</v>
      </c>
      <c r="H68" s="211">
        <v>0</v>
      </c>
    </row>
    <row r="69" spans="1:8" x14ac:dyDescent="0.55000000000000004">
      <c r="A69" s="202"/>
      <c r="B69" s="216" t="s">
        <v>548</v>
      </c>
      <c r="C69" s="217" t="e">
        <f>+C68*100/C65</f>
        <v>#DIV/0!</v>
      </c>
      <c r="D69" s="196"/>
      <c r="E69" s="206"/>
      <c r="F69" s="196"/>
      <c r="G69" s="195"/>
      <c r="H69" s="196"/>
    </row>
    <row r="70" spans="1:8" s="125" customFormat="1" x14ac:dyDescent="0.55000000000000004">
      <c r="A70" s="199" t="s">
        <v>140</v>
      </c>
      <c r="B70" s="190" t="s">
        <v>5</v>
      </c>
      <c r="C70" s="191">
        <f t="shared" ref="C70:D73" si="13">+E70+G70</f>
        <v>691350900</v>
      </c>
      <c r="D70" s="194">
        <f t="shared" si="13"/>
        <v>42</v>
      </c>
      <c r="E70" s="204">
        <f>+E71+E72</f>
        <v>691350900</v>
      </c>
      <c r="F70" s="194">
        <f>+F71+F72</f>
        <v>42</v>
      </c>
      <c r="G70" s="191">
        <f>+G71+G72</f>
        <v>0</v>
      </c>
      <c r="H70" s="198">
        <f>+H71+H72</f>
        <v>0</v>
      </c>
    </row>
    <row r="71" spans="1:8" s="125" customFormat="1" x14ac:dyDescent="0.55000000000000004">
      <c r="A71" s="200"/>
      <c r="B71" s="203" t="s">
        <v>53</v>
      </c>
      <c r="C71" s="192">
        <f t="shared" si="13"/>
        <v>0</v>
      </c>
      <c r="D71" s="133">
        <f t="shared" si="13"/>
        <v>35</v>
      </c>
      <c r="E71" s="205">
        <f>+Sheet2!E33</f>
        <v>0</v>
      </c>
      <c r="F71" s="133">
        <v>35</v>
      </c>
      <c r="G71" s="192">
        <f>+Sheet2!M33</f>
        <v>0</v>
      </c>
      <c r="H71" s="193">
        <v>0</v>
      </c>
    </row>
    <row r="72" spans="1:8" x14ac:dyDescent="0.55000000000000004">
      <c r="A72" s="200"/>
      <c r="B72" s="203" t="s">
        <v>66</v>
      </c>
      <c r="C72" s="192">
        <f t="shared" si="13"/>
        <v>691350900</v>
      </c>
      <c r="D72" s="133">
        <f t="shared" si="13"/>
        <v>7</v>
      </c>
      <c r="E72" s="205">
        <f>+Sheet2!G33</f>
        <v>691350900</v>
      </c>
      <c r="F72" s="133">
        <v>7</v>
      </c>
      <c r="G72" s="192">
        <f>+Sheet2!O33</f>
        <v>0</v>
      </c>
      <c r="H72" s="193">
        <v>0</v>
      </c>
    </row>
    <row r="73" spans="1:8" s="90" customFormat="1" x14ac:dyDescent="0.55000000000000004">
      <c r="A73" s="214"/>
      <c r="B73" s="207" t="s">
        <v>67</v>
      </c>
      <c r="C73" s="208">
        <f t="shared" si="13"/>
        <v>0</v>
      </c>
      <c r="D73" s="209">
        <f t="shared" si="13"/>
        <v>16</v>
      </c>
      <c r="E73" s="210">
        <f>+Sheet2!I33</f>
        <v>0</v>
      </c>
      <c r="F73" s="209">
        <v>16</v>
      </c>
      <c r="G73" s="208">
        <f>+Sheet2!Q33</f>
        <v>0</v>
      </c>
      <c r="H73" s="211">
        <v>0</v>
      </c>
    </row>
    <row r="74" spans="1:8" x14ac:dyDescent="0.55000000000000004">
      <c r="A74" s="202"/>
      <c r="B74" s="216" t="s">
        <v>548</v>
      </c>
      <c r="C74" s="217">
        <f>+C73*100/C70</f>
        <v>0</v>
      </c>
      <c r="D74" s="196"/>
      <c r="E74" s="206"/>
      <c r="F74" s="196"/>
      <c r="G74" s="195"/>
      <c r="H74" s="196"/>
    </row>
    <row r="75" spans="1:8" s="125" customFormat="1" x14ac:dyDescent="0.55000000000000004">
      <c r="A75" s="199" t="s">
        <v>19</v>
      </c>
      <c r="B75" s="190" t="s">
        <v>5</v>
      </c>
      <c r="C75" s="191" t="e">
        <f t="shared" ref="C75:D78" si="14">+E75+G75</f>
        <v>#REF!</v>
      </c>
      <c r="D75" s="194">
        <f t="shared" si="14"/>
        <v>7</v>
      </c>
      <c r="E75" s="204" t="e">
        <f>+E76+E77</f>
        <v>#REF!</v>
      </c>
      <c r="F75" s="194">
        <f>+F76+F77</f>
        <v>5</v>
      </c>
      <c r="G75" s="191">
        <f>+G76+G77</f>
        <v>62472100</v>
      </c>
      <c r="H75" s="194">
        <f>+H76+H77</f>
        <v>2</v>
      </c>
    </row>
    <row r="76" spans="1:8" s="125" customFormat="1" x14ac:dyDescent="0.55000000000000004">
      <c r="A76" s="200"/>
      <c r="B76" s="203" t="s">
        <v>53</v>
      </c>
      <c r="C76" s="192" t="e">
        <f t="shared" si="14"/>
        <v>#REF!</v>
      </c>
      <c r="D76" s="133">
        <f t="shared" si="14"/>
        <v>6</v>
      </c>
      <c r="E76" s="205" t="e">
        <f>+Sheet2!E34</f>
        <v>#REF!</v>
      </c>
      <c r="F76" s="133">
        <v>5</v>
      </c>
      <c r="G76" s="192">
        <f>+Sheet2!M34</f>
        <v>0</v>
      </c>
      <c r="H76" s="133">
        <v>1</v>
      </c>
    </row>
    <row r="77" spans="1:8" x14ac:dyDescent="0.55000000000000004">
      <c r="A77" s="200"/>
      <c r="B77" s="203" t="s">
        <v>66</v>
      </c>
      <c r="C77" s="192" t="e">
        <f t="shared" si="14"/>
        <v>#REF!</v>
      </c>
      <c r="D77" s="133">
        <f t="shared" si="14"/>
        <v>1</v>
      </c>
      <c r="E77" s="205" t="e">
        <f>+Sheet2!G34</f>
        <v>#REF!</v>
      </c>
      <c r="F77" s="193">
        <v>0</v>
      </c>
      <c r="G77" s="192">
        <f>+Sheet2!O34</f>
        <v>62472100</v>
      </c>
      <c r="H77" s="133">
        <v>1</v>
      </c>
    </row>
    <row r="78" spans="1:8" s="90" customFormat="1" x14ac:dyDescent="0.55000000000000004">
      <c r="A78" s="214"/>
      <c r="B78" s="207" t="s">
        <v>67</v>
      </c>
      <c r="C78" s="208" t="e">
        <f t="shared" si="14"/>
        <v>#REF!</v>
      </c>
      <c r="D78" s="209">
        <f t="shared" si="14"/>
        <v>1</v>
      </c>
      <c r="E78" s="210" t="e">
        <f>+Sheet2!I34</f>
        <v>#REF!</v>
      </c>
      <c r="F78" s="211">
        <v>0</v>
      </c>
      <c r="G78" s="208">
        <f>+Sheet2!Q34</f>
        <v>0</v>
      </c>
      <c r="H78" s="209">
        <v>1</v>
      </c>
    </row>
    <row r="79" spans="1:8" x14ac:dyDescent="0.55000000000000004">
      <c r="A79" s="202"/>
      <c r="B79" s="216" t="s">
        <v>548</v>
      </c>
      <c r="C79" s="217" t="e">
        <f>+C78*100/C75</f>
        <v>#REF!</v>
      </c>
      <c r="D79" s="196"/>
      <c r="E79" s="206"/>
      <c r="F79" s="196"/>
      <c r="G79" s="195"/>
      <c r="H79" s="196"/>
    </row>
    <row r="80" spans="1:8" s="125" customFormat="1" x14ac:dyDescent="0.55000000000000004">
      <c r="A80" s="199" t="s">
        <v>20</v>
      </c>
      <c r="B80" s="190" t="s">
        <v>5</v>
      </c>
      <c r="C80" s="191">
        <f t="shared" ref="C80:D83" si="15">+E80+G80</f>
        <v>200790800</v>
      </c>
      <c r="D80" s="194">
        <f t="shared" si="15"/>
        <v>11</v>
      </c>
      <c r="E80" s="204">
        <f>+E81+E82</f>
        <v>0</v>
      </c>
      <c r="F80" s="194">
        <f>+F81+F82</f>
        <v>5</v>
      </c>
      <c r="G80" s="191">
        <f>+G81+G82</f>
        <v>200790800</v>
      </c>
      <c r="H80" s="194">
        <f>+H81+H82</f>
        <v>6</v>
      </c>
    </row>
    <row r="81" spans="1:8" s="125" customFormat="1" x14ac:dyDescent="0.55000000000000004">
      <c r="A81" s="200"/>
      <c r="B81" s="203" t="s">
        <v>53</v>
      </c>
      <c r="C81" s="192">
        <f t="shared" si="15"/>
        <v>0</v>
      </c>
      <c r="D81" s="133">
        <f t="shared" si="15"/>
        <v>6</v>
      </c>
      <c r="E81" s="205">
        <f>+Sheet2!E35</f>
        <v>0</v>
      </c>
      <c r="F81" s="133">
        <v>2</v>
      </c>
      <c r="G81" s="192">
        <f>+Sheet2!M35</f>
        <v>0</v>
      </c>
      <c r="H81" s="133">
        <v>4</v>
      </c>
    </row>
    <row r="82" spans="1:8" x14ac:dyDescent="0.55000000000000004">
      <c r="A82" s="200"/>
      <c r="B82" s="203" t="s">
        <v>66</v>
      </c>
      <c r="C82" s="192">
        <f t="shared" si="15"/>
        <v>200790800</v>
      </c>
      <c r="D82" s="133">
        <f t="shared" si="15"/>
        <v>5</v>
      </c>
      <c r="E82" s="205">
        <f>+Sheet2!G35</f>
        <v>0</v>
      </c>
      <c r="F82" s="133">
        <v>3</v>
      </c>
      <c r="G82" s="192">
        <f>+Sheet2!O35</f>
        <v>200790800</v>
      </c>
      <c r="H82" s="133">
        <v>2</v>
      </c>
    </row>
    <row r="83" spans="1:8" s="90" customFormat="1" x14ac:dyDescent="0.55000000000000004">
      <c r="A83" s="214"/>
      <c r="B83" s="207" t="s">
        <v>67</v>
      </c>
      <c r="C83" s="208">
        <f t="shared" si="15"/>
        <v>0</v>
      </c>
      <c r="D83" s="211">
        <f t="shared" si="15"/>
        <v>0</v>
      </c>
      <c r="E83" s="210">
        <f>+Sheet2!I35</f>
        <v>0</v>
      </c>
      <c r="F83" s="211">
        <v>0</v>
      </c>
      <c r="G83" s="208">
        <f>+Sheet2!Q35</f>
        <v>0</v>
      </c>
      <c r="H83" s="211">
        <v>0</v>
      </c>
    </row>
    <row r="84" spans="1:8" x14ac:dyDescent="0.55000000000000004">
      <c r="A84" s="202"/>
      <c r="B84" s="216" t="s">
        <v>548</v>
      </c>
      <c r="C84" s="217">
        <f>+C83*100/C80</f>
        <v>0</v>
      </c>
      <c r="D84" s="196"/>
      <c r="E84" s="206"/>
      <c r="F84" s="196"/>
      <c r="G84" s="195"/>
      <c r="H84" s="196"/>
    </row>
    <row r="85" spans="1:8" s="125" customFormat="1" x14ac:dyDescent="0.55000000000000004">
      <c r="A85" s="199" t="s">
        <v>296</v>
      </c>
      <c r="B85" s="190" t="s">
        <v>5</v>
      </c>
      <c r="C85" s="191">
        <f t="shared" ref="C85:D88" si="16">+E85+G85</f>
        <v>257199400</v>
      </c>
      <c r="D85" s="194">
        <f t="shared" si="16"/>
        <v>20</v>
      </c>
      <c r="E85" s="204">
        <f>+E86+E87</f>
        <v>74186000</v>
      </c>
      <c r="F85" s="194">
        <f>+F86+F87</f>
        <v>16</v>
      </c>
      <c r="G85" s="191">
        <f>+G86+G87</f>
        <v>183013400</v>
      </c>
      <c r="H85" s="194">
        <f>+H86+H87</f>
        <v>4</v>
      </c>
    </row>
    <row r="86" spans="1:8" s="125" customFormat="1" x14ac:dyDescent="0.55000000000000004">
      <c r="A86" s="200"/>
      <c r="B86" s="203" t="s">
        <v>53</v>
      </c>
      <c r="C86" s="192">
        <f t="shared" si="16"/>
        <v>0</v>
      </c>
      <c r="D86" s="133">
        <f t="shared" si="16"/>
        <v>10</v>
      </c>
      <c r="E86" s="205">
        <f>+Sheet2!E36</f>
        <v>0</v>
      </c>
      <c r="F86" s="133">
        <v>7</v>
      </c>
      <c r="G86" s="192">
        <f>+Sheet2!M36</f>
        <v>0</v>
      </c>
      <c r="H86" s="133">
        <v>3</v>
      </c>
    </row>
    <row r="87" spans="1:8" x14ac:dyDescent="0.55000000000000004">
      <c r="A87" s="200"/>
      <c r="B87" s="203" t="s">
        <v>66</v>
      </c>
      <c r="C87" s="192">
        <f t="shared" si="16"/>
        <v>257199400</v>
      </c>
      <c r="D87" s="133">
        <f t="shared" si="16"/>
        <v>10</v>
      </c>
      <c r="E87" s="205">
        <f>+Sheet2!G36</f>
        <v>74186000</v>
      </c>
      <c r="F87" s="133">
        <v>9</v>
      </c>
      <c r="G87" s="192">
        <f>+Sheet2!O36</f>
        <v>183013400</v>
      </c>
      <c r="H87" s="133">
        <v>1</v>
      </c>
    </row>
    <row r="88" spans="1:8" s="90" customFormat="1" x14ac:dyDescent="0.55000000000000004">
      <c r="A88" s="214"/>
      <c r="B88" s="207" t="s">
        <v>67</v>
      </c>
      <c r="C88" s="208">
        <f t="shared" si="16"/>
        <v>0</v>
      </c>
      <c r="D88" s="209">
        <f t="shared" si="16"/>
        <v>4</v>
      </c>
      <c r="E88" s="210">
        <f>+Sheet2!I36</f>
        <v>0</v>
      </c>
      <c r="F88" s="209">
        <v>4</v>
      </c>
      <c r="G88" s="208">
        <f>+Sheet2!Q36</f>
        <v>0</v>
      </c>
      <c r="H88" s="211">
        <v>0</v>
      </c>
    </row>
    <row r="89" spans="1:8" x14ac:dyDescent="0.55000000000000004">
      <c r="A89" s="202"/>
      <c r="B89" s="216" t="s">
        <v>548</v>
      </c>
      <c r="C89" s="217">
        <f>+C88*100/C85</f>
        <v>0</v>
      </c>
      <c r="D89" s="196"/>
      <c r="E89" s="206"/>
      <c r="F89" s="196"/>
      <c r="G89" s="195"/>
      <c r="H89" s="196"/>
    </row>
    <row r="90" spans="1:8" s="125" customFormat="1" x14ac:dyDescent="0.55000000000000004">
      <c r="A90" s="199" t="s">
        <v>32</v>
      </c>
      <c r="B90" s="190" t="s">
        <v>5</v>
      </c>
      <c r="C90" s="191">
        <f t="shared" ref="C90:D93" si="17">+E90+G90</f>
        <v>8391800</v>
      </c>
      <c r="D90" s="194">
        <f t="shared" si="17"/>
        <v>2</v>
      </c>
      <c r="E90" s="204">
        <f>+E91+E92</f>
        <v>1381800</v>
      </c>
      <c r="F90" s="198">
        <f>+F91+F92</f>
        <v>0</v>
      </c>
      <c r="G90" s="191">
        <f>+G91+G92</f>
        <v>7010000</v>
      </c>
      <c r="H90" s="194">
        <f>+H91+H92</f>
        <v>2</v>
      </c>
    </row>
    <row r="91" spans="1:8" s="125" customFormat="1" x14ac:dyDescent="0.55000000000000004">
      <c r="A91" s="200"/>
      <c r="B91" s="203" t="s">
        <v>53</v>
      </c>
      <c r="C91" s="192">
        <f t="shared" si="17"/>
        <v>0</v>
      </c>
      <c r="D91" s="193">
        <f t="shared" si="17"/>
        <v>0</v>
      </c>
      <c r="E91" s="205">
        <f>+Sheet2!E16</f>
        <v>0</v>
      </c>
      <c r="F91" s="193">
        <v>0</v>
      </c>
      <c r="G91" s="192">
        <f>+Sheet2!M16</f>
        <v>0</v>
      </c>
      <c r="H91" s="193">
        <v>0</v>
      </c>
    </row>
    <row r="92" spans="1:8" x14ac:dyDescent="0.55000000000000004">
      <c r="A92" s="200"/>
      <c r="B92" s="203" t="s">
        <v>66</v>
      </c>
      <c r="C92" s="192">
        <f t="shared" si="17"/>
        <v>8391800</v>
      </c>
      <c r="D92" s="133">
        <f t="shared" si="17"/>
        <v>2</v>
      </c>
      <c r="E92" s="205">
        <f>+Sheet2!G16</f>
        <v>1381800</v>
      </c>
      <c r="F92" s="193">
        <v>0</v>
      </c>
      <c r="G92" s="192">
        <f>+Sheet2!O16</f>
        <v>7010000</v>
      </c>
      <c r="H92" s="133">
        <f>3-1</f>
        <v>2</v>
      </c>
    </row>
    <row r="93" spans="1:8" s="90" customFormat="1" x14ac:dyDescent="0.55000000000000004">
      <c r="A93" s="214"/>
      <c r="B93" s="207" t="s">
        <v>67</v>
      </c>
      <c r="C93" s="208">
        <f t="shared" si="17"/>
        <v>0</v>
      </c>
      <c r="D93" s="211">
        <f t="shared" si="17"/>
        <v>0</v>
      </c>
      <c r="E93" s="210">
        <f>+Sheet2!I16</f>
        <v>0</v>
      </c>
      <c r="F93" s="211">
        <v>0</v>
      </c>
      <c r="G93" s="208">
        <f>+Sheet2!Q16</f>
        <v>0</v>
      </c>
      <c r="H93" s="211">
        <v>0</v>
      </c>
    </row>
    <row r="94" spans="1:8" x14ac:dyDescent="0.55000000000000004">
      <c r="A94" s="202"/>
      <c r="B94" s="216" t="s">
        <v>548</v>
      </c>
      <c r="C94" s="217">
        <f>+C93*100/C90</f>
        <v>0</v>
      </c>
      <c r="D94" s="196"/>
      <c r="E94" s="206"/>
      <c r="F94" s="196"/>
      <c r="G94" s="195"/>
      <c r="H94" s="196"/>
    </row>
    <row r="95" spans="1:8" s="125" customFormat="1" x14ac:dyDescent="0.55000000000000004">
      <c r="A95" s="199" t="s">
        <v>34</v>
      </c>
      <c r="B95" s="190" t="s">
        <v>5</v>
      </c>
      <c r="C95" s="191">
        <f t="shared" ref="C95:D98" si="18">+E95+G95</f>
        <v>64000</v>
      </c>
      <c r="D95" s="194">
        <f t="shared" si="18"/>
        <v>1</v>
      </c>
      <c r="E95" s="204">
        <f>+E96+E97</f>
        <v>64000</v>
      </c>
      <c r="F95" s="198">
        <f>+F96+F97</f>
        <v>0</v>
      </c>
      <c r="G95" s="191">
        <f>+G96+G97</f>
        <v>0</v>
      </c>
      <c r="H95" s="194">
        <f>+H96+H97</f>
        <v>1</v>
      </c>
    </row>
    <row r="96" spans="1:8" s="125" customFormat="1" x14ac:dyDescent="0.55000000000000004">
      <c r="A96" s="200"/>
      <c r="B96" s="203" t="s">
        <v>53</v>
      </c>
      <c r="C96" s="192">
        <f t="shared" si="18"/>
        <v>0</v>
      </c>
      <c r="D96" s="133">
        <f t="shared" si="18"/>
        <v>1</v>
      </c>
      <c r="E96" s="205">
        <f>+Sheet2!E18</f>
        <v>0</v>
      </c>
      <c r="F96" s="193">
        <v>0</v>
      </c>
      <c r="G96" s="192">
        <f>+Sheet2!M18</f>
        <v>0</v>
      </c>
      <c r="H96" s="133">
        <v>1</v>
      </c>
    </row>
    <row r="97" spans="1:8" x14ac:dyDescent="0.55000000000000004">
      <c r="A97" s="200"/>
      <c r="B97" s="203" t="s">
        <v>66</v>
      </c>
      <c r="C97" s="192">
        <f t="shared" si="18"/>
        <v>64000</v>
      </c>
      <c r="D97" s="193">
        <f t="shared" si="18"/>
        <v>0</v>
      </c>
      <c r="E97" s="205">
        <f>+Sheet2!G18</f>
        <v>64000</v>
      </c>
      <c r="F97" s="193">
        <v>0</v>
      </c>
      <c r="G97" s="192">
        <f>+Sheet2!O18</f>
        <v>0</v>
      </c>
      <c r="H97" s="193">
        <v>0</v>
      </c>
    </row>
    <row r="98" spans="1:8" s="90" customFormat="1" x14ac:dyDescent="0.55000000000000004">
      <c r="A98" s="214"/>
      <c r="B98" s="207" t="s">
        <v>67</v>
      </c>
      <c r="C98" s="208">
        <f t="shared" si="18"/>
        <v>0</v>
      </c>
      <c r="D98" s="209">
        <f t="shared" si="18"/>
        <v>1</v>
      </c>
      <c r="E98" s="210">
        <f>+Sheet2!I18</f>
        <v>0</v>
      </c>
      <c r="F98" s="211">
        <v>0</v>
      </c>
      <c r="G98" s="208">
        <f>+Sheet2!Q18</f>
        <v>0</v>
      </c>
      <c r="H98" s="209">
        <v>1</v>
      </c>
    </row>
    <row r="99" spans="1:8" x14ac:dyDescent="0.55000000000000004">
      <c r="A99" s="202"/>
      <c r="B99" s="216" t="s">
        <v>548</v>
      </c>
      <c r="C99" s="217">
        <f>+C98*100/C95</f>
        <v>0</v>
      </c>
      <c r="D99" s="196"/>
      <c r="E99" s="206"/>
      <c r="F99" s="196"/>
      <c r="G99" s="195"/>
      <c r="H99" s="196"/>
    </row>
    <row r="100" spans="1:8" s="125" customFormat="1" x14ac:dyDescent="0.55000000000000004">
      <c r="A100" s="199" t="s">
        <v>23</v>
      </c>
      <c r="B100" s="190" t="s">
        <v>5</v>
      </c>
      <c r="C100" s="191">
        <f t="shared" ref="C100:D103" si="19">+E100+G100</f>
        <v>66222600</v>
      </c>
      <c r="D100" s="194">
        <f t="shared" si="19"/>
        <v>33</v>
      </c>
      <c r="E100" s="204">
        <f>+E101+E102</f>
        <v>27022000</v>
      </c>
      <c r="F100" s="194">
        <f>+F101+F102</f>
        <v>30</v>
      </c>
      <c r="G100" s="191">
        <f>+G101+G102</f>
        <v>39200600</v>
      </c>
      <c r="H100" s="194">
        <f>+H101+H102</f>
        <v>3</v>
      </c>
    </row>
    <row r="101" spans="1:8" s="125" customFormat="1" x14ac:dyDescent="0.55000000000000004">
      <c r="A101" s="200"/>
      <c r="B101" s="203" t="s">
        <v>53</v>
      </c>
      <c r="C101" s="192">
        <f t="shared" si="19"/>
        <v>0</v>
      </c>
      <c r="D101" s="133">
        <f t="shared" si="19"/>
        <v>29</v>
      </c>
      <c r="E101" s="205">
        <f>+Sheet2!E38</f>
        <v>0</v>
      </c>
      <c r="F101" s="133">
        <v>27</v>
      </c>
      <c r="G101" s="192">
        <f>+Sheet2!M38</f>
        <v>0</v>
      </c>
      <c r="H101" s="133">
        <v>2</v>
      </c>
    </row>
    <row r="102" spans="1:8" x14ac:dyDescent="0.55000000000000004">
      <c r="A102" s="200"/>
      <c r="B102" s="203" t="s">
        <v>66</v>
      </c>
      <c r="C102" s="192">
        <f t="shared" si="19"/>
        <v>66222600</v>
      </c>
      <c r="D102" s="133">
        <f t="shared" si="19"/>
        <v>4</v>
      </c>
      <c r="E102" s="205">
        <f>+Sheet2!G38</f>
        <v>27022000</v>
      </c>
      <c r="F102" s="133">
        <v>3</v>
      </c>
      <c r="G102" s="192">
        <f>+Sheet2!O38</f>
        <v>39200600</v>
      </c>
      <c r="H102" s="133">
        <v>1</v>
      </c>
    </row>
    <row r="103" spans="1:8" s="90" customFormat="1" x14ac:dyDescent="0.55000000000000004">
      <c r="A103" s="214"/>
      <c r="B103" s="207" t="s">
        <v>67</v>
      </c>
      <c r="C103" s="208">
        <f t="shared" si="19"/>
        <v>0</v>
      </c>
      <c r="D103" s="209">
        <f t="shared" si="19"/>
        <v>12</v>
      </c>
      <c r="E103" s="210">
        <f>+Sheet2!I38</f>
        <v>0</v>
      </c>
      <c r="F103" s="209">
        <v>12</v>
      </c>
      <c r="G103" s="208">
        <f>+Sheet2!Q38</f>
        <v>0</v>
      </c>
      <c r="H103" s="211">
        <v>0</v>
      </c>
    </row>
    <row r="104" spans="1:8" x14ac:dyDescent="0.55000000000000004">
      <c r="A104" s="202"/>
      <c r="B104" s="216" t="s">
        <v>548</v>
      </c>
      <c r="C104" s="217">
        <f>+C103*100/C100</f>
        <v>0</v>
      </c>
      <c r="D104" s="196"/>
      <c r="E104" s="206"/>
      <c r="F104" s="196"/>
      <c r="G104" s="195"/>
      <c r="H104" s="196"/>
    </row>
    <row r="105" spans="1:8" s="125" customFormat="1" x14ac:dyDescent="0.55000000000000004">
      <c r="A105" s="199" t="s">
        <v>24</v>
      </c>
      <c r="B105" s="190" t="s">
        <v>5</v>
      </c>
      <c r="C105" s="191">
        <f t="shared" ref="C105:D108" si="20">+E105+G105</f>
        <v>237581100</v>
      </c>
      <c r="D105" s="194">
        <f t="shared" si="20"/>
        <v>5</v>
      </c>
      <c r="E105" s="204">
        <f>+E106+E107</f>
        <v>208107900</v>
      </c>
      <c r="F105" s="194">
        <f>+F106+F107</f>
        <v>4</v>
      </c>
      <c r="G105" s="191">
        <f>+G106+G107</f>
        <v>29473200</v>
      </c>
      <c r="H105" s="194">
        <f>+H106+H107</f>
        <v>1</v>
      </c>
    </row>
    <row r="106" spans="1:8" s="125" customFormat="1" x14ac:dyDescent="0.55000000000000004">
      <c r="A106" s="200"/>
      <c r="B106" s="203" t="s">
        <v>53</v>
      </c>
      <c r="C106" s="192">
        <f t="shared" si="20"/>
        <v>0</v>
      </c>
      <c r="D106" s="133">
        <f t="shared" si="20"/>
        <v>4</v>
      </c>
      <c r="E106" s="205">
        <f>+Sheet2!E39</f>
        <v>0</v>
      </c>
      <c r="F106" s="133">
        <v>3</v>
      </c>
      <c r="G106" s="192">
        <f>+Sheet2!M39</f>
        <v>0</v>
      </c>
      <c r="H106" s="133">
        <v>1</v>
      </c>
    </row>
    <row r="107" spans="1:8" x14ac:dyDescent="0.55000000000000004">
      <c r="A107" s="200"/>
      <c r="B107" s="203" t="s">
        <v>66</v>
      </c>
      <c r="C107" s="192">
        <f t="shared" si="20"/>
        <v>237581100</v>
      </c>
      <c r="D107" s="133">
        <f t="shared" si="20"/>
        <v>1</v>
      </c>
      <c r="E107" s="205">
        <f>+Sheet2!G39</f>
        <v>208107900</v>
      </c>
      <c r="F107" s="133">
        <v>1</v>
      </c>
      <c r="G107" s="192">
        <f>+Sheet2!O39</f>
        <v>29473200</v>
      </c>
      <c r="H107" s="193">
        <v>0</v>
      </c>
    </row>
    <row r="108" spans="1:8" s="90" customFormat="1" x14ac:dyDescent="0.55000000000000004">
      <c r="A108" s="214"/>
      <c r="B108" s="207" t="s">
        <v>67</v>
      </c>
      <c r="C108" s="208">
        <f t="shared" si="20"/>
        <v>0</v>
      </c>
      <c r="D108" s="211">
        <f t="shared" si="20"/>
        <v>0</v>
      </c>
      <c r="E108" s="210">
        <f>+Sheet2!I39</f>
        <v>0</v>
      </c>
      <c r="F108" s="211">
        <v>0</v>
      </c>
      <c r="G108" s="208">
        <f>+Sheet2!Q39</f>
        <v>0</v>
      </c>
      <c r="H108" s="211">
        <v>0</v>
      </c>
    </row>
    <row r="109" spans="1:8" x14ac:dyDescent="0.55000000000000004">
      <c r="A109" s="202"/>
      <c r="B109" s="216" t="s">
        <v>548</v>
      </c>
      <c r="C109" s="217">
        <f>+C108*100/C105</f>
        <v>0</v>
      </c>
      <c r="D109" s="196"/>
      <c r="E109" s="206"/>
      <c r="F109" s="196"/>
      <c r="G109" s="195"/>
      <c r="H109" s="196"/>
    </row>
    <row r="110" spans="1:8" s="125" customFormat="1" x14ac:dyDescent="0.55000000000000004">
      <c r="A110" s="199" t="s">
        <v>25</v>
      </c>
      <c r="B110" s="190" t="s">
        <v>5</v>
      </c>
      <c r="C110" s="191">
        <f t="shared" ref="C110:D113" si="21">+E110+G110</f>
        <v>303068300</v>
      </c>
      <c r="D110" s="194">
        <f t="shared" si="21"/>
        <v>2</v>
      </c>
      <c r="E110" s="204">
        <f>+E111+E112</f>
        <v>50666300</v>
      </c>
      <c r="F110" s="194">
        <f>+F111+F112</f>
        <v>1</v>
      </c>
      <c r="G110" s="191">
        <f>+G111+G112</f>
        <v>252402000</v>
      </c>
      <c r="H110" s="194">
        <f>+H111+H112</f>
        <v>1</v>
      </c>
    </row>
    <row r="111" spans="1:8" s="125" customFormat="1" x14ac:dyDescent="0.55000000000000004">
      <c r="A111" s="200"/>
      <c r="B111" s="203" t="s">
        <v>53</v>
      </c>
      <c r="C111" s="192">
        <f t="shared" si="21"/>
        <v>0</v>
      </c>
      <c r="D111" s="133">
        <f t="shared" si="21"/>
        <v>2</v>
      </c>
      <c r="E111" s="205">
        <f>+Sheet2!E40</f>
        <v>0</v>
      </c>
      <c r="F111" s="133">
        <v>1</v>
      </c>
      <c r="G111" s="192">
        <f>+Sheet2!M40</f>
        <v>0</v>
      </c>
      <c r="H111" s="133">
        <v>1</v>
      </c>
    </row>
    <row r="112" spans="1:8" x14ac:dyDescent="0.55000000000000004">
      <c r="A112" s="200"/>
      <c r="B112" s="203" t="s">
        <v>66</v>
      </c>
      <c r="C112" s="192">
        <f t="shared" si="21"/>
        <v>303068300</v>
      </c>
      <c r="D112" s="193">
        <f t="shared" si="21"/>
        <v>0</v>
      </c>
      <c r="E112" s="205">
        <f>+Sheet2!G40</f>
        <v>50666300</v>
      </c>
      <c r="F112" s="193">
        <v>0</v>
      </c>
      <c r="G112" s="192">
        <f>+Sheet2!O40</f>
        <v>252402000</v>
      </c>
      <c r="H112" s="193">
        <v>0</v>
      </c>
    </row>
    <row r="113" spans="1:8" s="90" customFormat="1" x14ac:dyDescent="0.55000000000000004">
      <c r="A113" s="214"/>
      <c r="B113" s="207" t="s">
        <v>67</v>
      </c>
      <c r="C113" s="208">
        <f t="shared" si="21"/>
        <v>0</v>
      </c>
      <c r="D113" s="211">
        <f t="shared" si="21"/>
        <v>0</v>
      </c>
      <c r="E113" s="210">
        <f>+Sheet2!I40</f>
        <v>0</v>
      </c>
      <c r="F113" s="211">
        <v>0</v>
      </c>
      <c r="G113" s="208">
        <f>+Sheet2!Q40</f>
        <v>0</v>
      </c>
      <c r="H113" s="211">
        <v>0</v>
      </c>
    </row>
    <row r="114" spans="1:8" x14ac:dyDescent="0.55000000000000004">
      <c r="A114" s="202"/>
      <c r="B114" s="216" t="s">
        <v>548</v>
      </c>
      <c r="C114" s="217">
        <f>+C113*100/C110</f>
        <v>0</v>
      </c>
      <c r="D114" s="196"/>
      <c r="E114" s="206"/>
      <c r="F114" s="196"/>
      <c r="G114" s="195"/>
      <c r="H114" s="196"/>
    </row>
    <row r="115" spans="1:8" s="125" customFormat="1" x14ac:dyDescent="0.55000000000000004">
      <c r="A115" s="199" t="s">
        <v>27</v>
      </c>
      <c r="B115" s="190" t="s">
        <v>5</v>
      </c>
      <c r="C115" s="191">
        <f t="shared" ref="C115:D118" si="22">+E115+G115</f>
        <v>1173500</v>
      </c>
      <c r="D115" s="194">
        <f t="shared" si="22"/>
        <v>2</v>
      </c>
      <c r="E115" s="204">
        <f>+E116+E117</f>
        <v>1173500</v>
      </c>
      <c r="F115" s="194">
        <f>+F116+F117</f>
        <v>2</v>
      </c>
      <c r="G115" s="191">
        <f>+G116+G117</f>
        <v>0</v>
      </c>
      <c r="H115" s="198">
        <f>+H116+H117</f>
        <v>0</v>
      </c>
    </row>
    <row r="116" spans="1:8" s="125" customFormat="1" x14ac:dyDescent="0.55000000000000004">
      <c r="A116" s="200"/>
      <c r="B116" s="203" t="s">
        <v>53</v>
      </c>
      <c r="C116" s="192">
        <f t="shared" si="22"/>
        <v>0</v>
      </c>
      <c r="D116" s="133">
        <f t="shared" si="22"/>
        <v>2</v>
      </c>
      <c r="E116" s="205">
        <f>+Sheet2!E42</f>
        <v>0</v>
      </c>
      <c r="F116" s="133">
        <v>2</v>
      </c>
      <c r="G116" s="192">
        <f>+Sheet2!M42</f>
        <v>0</v>
      </c>
      <c r="H116" s="193">
        <v>0</v>
      </c>
    </row>
    <row r="117" spans="1:8" x14ac:dyDescent="0.55000000000000004">
      <c r="A117" s="200"/>
      <c r="B117" s="203" t="s">
        <v>66</v>
      </c>
      <c r="C117" s="192">
        <f t="shared" si="22"/>
        <v>1173500</v>
      </c>
      <c r="D117" s="193">
        <f t="shared" si="22"/>
        <v>0</v>
      </c>
      <c r="E117" s="205">
        <f>+Sheet2!G42</f>
        <v>1173500</v>
      </c>
      <c r="F117" s="193">
        <v>0</v>
      </c>
      <c r="G117" s="192">
        <f>+Sheet2!O42</f>
        <v>0</v>
      </c>
      <c r="H117" s="193">
        <v>0</v>
      </c>
    </row>
    <row r="118" spans="1:8" s="90" customFormat="1" x14ac:dyDescent="0.55000000000000004">
      <c r="A118" s="214"/>
      <c r="B118" s="207" t="s">
        <v>67</v>
      </c>
      <c r="C118" s="208">
        <f t="shared" si="22"/>
        <v>0</v>
      </c>
      <c r="D118" s="211">
        <f t="shared" si="22"/>
        <v>0</v>
      </c>
      <c r="E118" s="210">
        <f>+Sheet2!I42</f>
        <v>0</v>
      </c>
      <c r="F118" s="211">
        <v>0</v>
      </c>
      <c r="G118" s="208">
        <f>+Sheet2!Q42</f>
        <v>0</v>
      </c>
      <c r="H118" s="211">
        <v>0</v>
      </c>
    </row>
    <row r="119" spans="1:8" x14ac:dyDescent="0.55000000000000004">
      <c r="A119" s="202"/>
      <c r="B119" s="216" t="s">
        <v>548</v>
      </c>
      <c r="C119" s="217">
        <f>+C118*100/C115</f>
        <v>0</v>
      </c>
      <c r="D119" s="196"/>
      <c r="E119" s="206"/>
      <c r="F119" s="196"/>
      <c r="G119" s="195"/>
      <c r="H119" s="196"/>
    </row>
    <row r="120" spans="1:8" s="125" customFormat="1" x14ac:dyDescent="0.55000000000000004">
      <c r="A120" s="199" t="s">
        <v>26</v>
      </c>
      <c r="B120" s="190" t="s">
        <v>5</v>
      </c>
      <c r="C120" s="191" t="e">
        <f t="shared" ref="C120:D123" si="23">+E120+G120</f>
        <v>#REF!</v>
      </c>
      <c r="D120" s="194">
        <f t="shared" si="23"/>
        <v>2</v>
      </c>
      <c r="E120" s="204" t="e">
        <f>+E121+E122</f>
        <v>#REF!</v>
      </c>
      <c r="F120" s="194">
        <f>+F121+F122</f>
        <v>1</v>
      </c>
      <c r="G120" s="191">
        <f>+G121+G122</f>
        <v>0</v>
      </c>
      <c r="H120" s="194">
        <f>+H121+H122</f>
        <v>1</v>
      </c>
    </row>
    <row r="121" spans="1:8" s="125" customFormat="1" x14ac:dyDescent="0.55000000000000004">
      <c r="A121" s="200"/>
      <c r="B121" s="203" t="s">
        <v>53</v>
      </c>
      <c r="C121" s="192" t="e">
        <f t="shared" si="23"/>
        <v>#REF!</v>
      </c>
      <c r="D121" s="133">
        <f t="shared" si="23"/>
        <v>2</v>
      </c>
      <c r="E121" s="205" t="e">
        <f>+Sheet2!E41</f>
        <v>#REF!</v>
      </c>
      <c r="F121" s="133">
        <v>1</v>
      </c>
      <c r="G121" s="192">
        <f>+Sheet2!M41</f>
        <v>0</v>
      </c>
      <c r="H121" s="133">
        <v>1</v>
      </c>
    </row>
    <row r="122" spans="1:8" x14ac:dyDescent="0.55000000000000004">
      <c r="A122" s="200"/>
      <c r="B122" s="203" t="s">
        <v>66</v>
      </c>
      <c r="C122" s="192" t="e">
        <f t="shared" si="23"/>
        <v>#REF!</v>
      </c>
      <c r="D122" s="193">
        <f t="shared" si="23"/>
        <v>0</v>
      </c>
      <c r="E122" s="205" t="e">
        <f>+Sheet2!G41</f>
        <v>#REF!</v>
      </c>
      <c r="F122" s="193">
        <v>0</v>
      </c>
      <c r="G122" s="192">
        <f>+Sheet2!O41</f>
        <v>0</v>
      </c>
      <c r="H122" s="193">
        <v>0</v>
      </c>
    </row>
    <row r="123" spans="1:8" s="90" customFormat="1" x14ac:dyDescent="0.55000000000000004">
      <c r="A123" s="214"/>
      <c r="B123" s="207" t="s">
        <v>67</v>
      </c>
      <c r="C123" s="208" t="e">
        <f t="shared" si="23"/>
        <v>#REF!</v>
      </c>
      <c r="D123" s="209">
        <f t="shared" si="23"/>
        <v>1</v>
      </c>
      <c r="E123" s="210" t="e">
        <f>+Sheet2!I41</f>
        <v>#REF!</v>
      </c>
      <c r="F123" s="211">
        <v>0</v>
      </c>
      <c r="G123" s="208">
        <f>+Sheet2!Q41</f>
        <v>0</v>
      </c>
      <c r="H123" s="209">
        <v>1</v>
      </c>
    </row>
    <row r="124" spans="1:8" x14ac:dyDescent="0.55000000000000004">
      <c r="A124" s="202"/>
      <c r="B124" s="216" t="s">
        <v>548</v>
      </c>
      <c r="C124" s="217" t="e">
        <f>+C123*100/C120</f>
        <v>#REF!</v>
      </c>
      <c r="D124" s="196"/>
      <c r="E124" s="206"/>
      <c r="F124" s="196"/>
      <c r="G124" s="195"/>
      <c r="H124" s="196"/>
    </row>
    <row r="125" spans="1:8" s="125" customFormat="1" x14ac:dyDescent="0.55000000000000004">
      <c r="A125" s="199" t="s">
        <v>29</v>
      </c>
      <c r="B125" s="190" t="s">
        <v>5</v>
      </c>
      <c r="C125" s="191" t="e">
        <f t="shared" ref="C125:D128" si="24">+E125+G125</f>
        <v>#REF!</v>
      </c>
      <c r="D125" s="194">
        <f t="shared" si="24"/>
        <v>26</v>
      </c>
      <c r="E125" s="204">
        <f>+E126+E127</f>
        <v>809073900</v>
      </c>
      <c r="F125" s="194">
        <f>+F126+F127</f>
        <v>23</v>
      </c>
      <c r="G125" s="191" t="e">
        <f>+G126+G127</f>
        <v>#REF!</v>
      </c>
      <c r="H125" s="194">
        <f>+H126+H127</f>
        <v>3</v>
      </c>
    </row>
    <row r="126" spans="1:8" s="125" customFormat="1" x14ac:dyDescent="0.55000000000000004">
      <c r="A126" s="200"/>
      <c r="B126" s="203" t="s">
        <v>53</v>
      </c>
      <c r="C126" s="192" t="e">
        <f t="shared" si="24"/>
        <v>#REF!</v>
      </c>
      <c r="D126" s="133">
        <f t="shared" si="24"/>
        <v>15</v>
      </c>
      <c r="E126" s="205">
        <f>+Sheet2!E13</f>
        <v>0</v>
      </c>
      <c r="F126" s="133">
        <f>20-5</f>
        <v>15</v>
      </c>
      <c r="G126" s="192" t="e">
        <f>+Sheet2!M13</f>
        <v>#REF!</v>
      </c>
      <c r="H126" s="193">
        <v>0</v>
      </c>
    </row>
    <row r="127" spans="1:8" x14ac:dyDescent="0.55000000000000004">
      <c r="A127" s="200"/>
      <c r="B127" s="203" t="s">
        <v>66</v>
      </c>
      <c r="C127" s="192" t="e">
        <f t="shared" si="24"/>
        <v>#REF!</v>
      </c>
      <c r="D127" s="133">
        <f t="shared" si="24"/>
        <v>11</v>
      </c>
      <c r="E127" s="205">
        <f>+Sheet2!G13</f>
        <v>809073900</v>
      </c>
      <c r="F127" s="133">
        <f>18-10</f>
        <v>8</v>
      </c>
      <c r="G127" s="192" t="e">
        <f>+Sheet2!O13</f>
        <v>#REF!</v>
      </c>
      <c r="H127" s="133">
        <f>5-2</f>
        <v>3</v>
      </c>
    </row>
    <row r="128" spans="1:8" s="90" customFormat="1" x14ac:dyDescent="0.55000000000000004">
      <c r="A128" s="214"/>
      <c r="B128" s="207" t="s">
        <v>67</v>
      </c>
      <c r="C128" s="208" t="e">
        <f t="shared" si="24"/>
        <v>#REF!</v>
      </c>
      <c r="D128" s="209">
        <f t="shared" si="24"/>
        <v>3</v>
      </c>
      <c r="E128" s="210">
        <f>+Sheet2!I13</f>
        <v>0</v>
      </c>
      <c r="F128" s="209">
        <v>3</v>
      </c>
      <c r="G128" s="208" t="e">
        <f>+Sheet2!Q13</f>
        <v>#REF!</v>
      </c>
      <c r="H128" s="211">
        <v>0</v>
      </c>
    </row>
    <row r="129" spans="1:8" x14ac:dyDescent="0.55000000000000004">
      <c r="A129" s="202"/>
      <c r="B129" s="216" t="s">
        <v>548</v>
      </c>
      <c r="C129" s="217" t="e">
        <f>+C128*100/C125</f>
        <v>#REF!</v>
      </c>
      <c r="D129" s="196"/>
      <c r="E129" s="206"/>
      <c r="F129" s="196"/>
      <c r="G129" s="195"/>
      <c r="H129" s="196"/>
    </row>
    <row r="130" spans="1:8" s="125" customFormat="1" x14ac:dyDescent="0.55000000000000004">
      <c r="A130" s="199" t="s">
        <v>33</v>
      </c>
      <c r="B130" s="190" t="s">
        <v>5</v>
      </c>
      <c r="C130" s="191">
        <f t="shared" ref="C130:D133" si="25">+E130+G130</f>
        <v>0</v>
      </c>
      <c r="D130" s="194">
        <f t="shared" si="25"/>
        <v>1</v>
      </c>
      <c r="E130" s="204">
        <f>+E131+E132</f>
        <v>0</v>
      </c>
      <c r="F130" s="194">
        <f>+F131+F132</f>
        <v>1</v>
      </c>
      <c r="G130" s="191">
        <f>+G131+G132</f>
        <v>0</v>
      </c>
      <c r="H130" s="198">
        <f>+H131+H132</f>
        <v>0</v>
      </c>
    </row>
    <row r="131" spans="1:8" s="125" customFormat="1" x14ac:dyDescent="0.55000000000000004">
      <c r="A131" s="200"/>
      <c r="B131" s="203" t="s">
        <v>53</v>
      </c>
      <c r="C131" s="192">
        <f t="shared" si="25"/>
        <v>0</v>
      </c>
      <c r="D131" s="133">
        <f t="shared" si="25"/>
        <v>1</v>
      </c>
      <c r="E131" s="205">
        <f>+Sheet2!E17</f>
        <v>0</v>
      </c>
      <c r="F131" s="133">
        <v>1</v>
      </c>
      <c r="G131" s="192">
        <f>+Sheet2!M17</f>
        <v>0</v>
      </c>
      <c r="H131" s="193">
        <v>0</v>
      </c>
    </row>
    <row r="132" spans="1:8" x14ac:dyDescent="0.55000000000000004">
      <c r="A132" s="200"/>
      <c r="B132" s="203" t="s">
        <v>66</v>
      </c>
      <c r="C132" s="192">
        <f t="shared" si="25"/>
        <v>0</v>
      </c>
      <c r="D132" s="193">
        <f t="shared" si="25"/>
        <v>0</v>
      </c>
      <c r="E132" s="205">
        <f>+Sheet2!G17</f>
        <v>0</v>
      </c>
      <c r="F132" s="193">
        <v>0</v>
      </c>
      <c r="G132" s="192">
        <f>+Sheet2!O17</f>
        <v>0</v>
      </c>
      <c r="H132" s="193">
        <v>0</v>
      </c>
    </row>
    <row r="133" spans="1:8" s="90" customFormat="1" x14ac:dyDescent="0.55000000000000004">
      <c r="A133" s="214"/>
      <c r="B133" s="207" t="s">
        <v>67</v>
      </c>
      <c r="C133" s="208">
        <f t="shared" si="25"/>
        <v>0</v>
      </c>
      <c r="D133" s="211">
        <f t="shared" si="25"/>
        <v>0</v>
      </c>
      <c r="E133" s="210">
        <f>+Sheet2!I17</f>
        <v>0</v>
      </c>
      <c r="F133" s="211">
        <v>0</v>
      </c>
      <c r="G133" s="208">
        <f>+Sheet2!Q17</f>
        <v>0</v>
      </c>
      <c r="H133" s="211">
        <v>0</v>
      </c>
    </row>
    <row r="134" spans="1:8" x14ac:dyDescent="0.55000000000000004">
      <c r="A134" s="202"/>
      <c r="B134" s="216" t="s">
        <v>548</v>
      </c>
      <c r="C134" s="217" t="e">
        <f>+C133*100/C130</f>
        <v>#DIV/0!</v>
      </c>
      <c r="D134" s="196"/>
      <c r="E134" s="206"/>
      <c r="F134" s="196"/>
      <c r="G134" s="195"/>
      <c r="H134" s="196"/>
    </row>
    <row r="135" spans="1:8" s="125" customFormat="1" x14ac:dyDescent="0.55000000000000004">
      <c r="A135" s="199" t="s">
        <v>35</v>
      </c>
      <c r="B135" s="190" t="s">
        <v>5</v>
      </c>
      <c r="C135" s="191">
        <f t="shared" ref="C135:D138" si="26">+E135+G135</f>
        <v>0</v>
      </c>
      <c r="D135" s="194">
        <f t="shared" si="26"/>
        <v>1</v>
      </c>
      <c r="E135" s="204">
        <f>+E136+E137</f>
        <v>0</v>
      </c>
      <c r="F135" s="194">
        <f>+F136+F137</f>
        <v>1</v>
      </c>
      <c r="G135" s="191">
        <f>+G136+G137</f>
        <v>0</v>
      </c>
      <c r="H135" s="198">
        <f>+H136+H137</f>
        <v>0</v>
      </c>
    </row>
    <row r="136" spans="1:8" s="125" customFormat="1" x14ac:dyDescent="0.55000000000000004">
      <c r="A136" s="200"/>
      <c r="B136" s="203" t="s">
        <v>53</v>
      </c>
      <c r="C136" s="192">
        <f t="shared" si="26"/>
        <v>0</v>
      </c>
      <c r="D136" s="133">
        <f t="shared" si="26"/>
        <v>1</v>
      </c>
      <c r="E136" s="205">
        <f>+Sheet2!E19</f>
        <v>0</v>
      </c>
      <c r="F136" s="133">
        <v>1</v>
      </c>
      <c r="G136" s="192">
        <f>+Sheet2!M19</f>
        <v>0</v>
      </c>
      <c r="H136" s="193">
        <v>0</v>
      </c>
    </row>
    <row r="137" spans="1:8" x14ac:dyDescent="0.55000000000000004">
      <c r="A137" s="200"/>
      <c r="B137" s="203" t="s">
        <v>66</v>
      </c>
      <c r="C137" s="192">
        <f t="shared" si="26"/>
        <v>0</v>
      </c>
      <c r="D137" s="193">
        <f t="shared" si="26"/>
        <v>0</v>
      </c>
      <c r="E137" s="205">
        <f>+Sheet2!G19</f>
        <v>0</v>
      </c>
      <c r="F137" s="193">
        <v>0</v>
      </c>
      <c r="G137" s="192">
        <f>+Sheet2!O19</f>
        <v>0</v>
      </c>
      <c r="H137" s="193">
        <v>0</v>
      </c>
    </row>
    <row r="138" spans="1:8" s="90" customFormat="1" x14ac:dyDescent="0.55000000000000004">
      <c r="A138" s="214"/>
      <c r="B138" s="207" t="s">
        <v>67</v>
      </c>
      <c r="C138" s="208">
        <f t="shared" si="26"/>
        <v>0</v>
      </c>
      <c r="D138" s="209">
        <f t="shared" si="26"/>
        <v>1</v>
      </c>
      <c r="E138" s="210">
        <f>+Sheet2!I19</f>
        <v>0</v>
      </c>
      <c r="F138" s="209">
        <v>1</v>
      </c>
      <c r="G138" s="208">
        <f>+Sheet2!Q19</f>
        <v>0</v>
      </c>
      <c r="H138" s="211">
        <v>0</v>
      </c>
    </row>
    <row r="139" spans="1:8" x14ac:dyDescent="0.55000000000000004">
      <c r="A139" s="202"/>
      <c r="B139" s="216" t="s">
        <v>548</v>
      </c>
      <c r="C139" s="217" t="e">
        <f>+C138*100/C135</f>
        <v>#DIV/0!</v>
      </c>
      <c r="D139" s="196"/>
      <c r="E139" s="206"/>
      <c r="F139" s="196"/>
      <c r="G139" s="195"/>
      <c r="H139" s="196"/>
    </row>
    <row r="140" spans="1:8" s="125" customFormat="1" x14ac:dyDescent="0.55000000000000004">
      <c r="A140" s="199" t="s">
        <v>30</v>
      </c>
      <c r="B140" s="190" t="s">
        <v>5</v>
      </c>
      <c r="C140" s="191" t="e">
        <f t="shared" ref="C140:D143" si="27">+E140+G140</f>
        <v>#REF!</v>
      </c>
      <c r="D140" s="194">
        <f t="shared" si="27"/>
        <v>3</v>
      </c>
      <c r="E140" s="204" t="e">
        <f>+E141+E142</f>
        <v>#REF!</v>
      </c>
      <c r="F140" s="194">
        <f>+F141+F142</f>
        <v>2</v>
      </c>
      <c r="G140" s="191">
        <f>+G141+G142</f>
        <v>16258000</v>
      </c>
      <c r="H140" s="194">
        <f>+H141+H142</f>
        <v>1</v>
      </c>
    </row>
    <row r="141" spans="1:8" s="125" customFormat="1" x14ac:dyDescent="0.55000000000000004">
      <c r="A141" s="200"/>
      <c r="B141" s="203" t="s">
        <v>53</v>
      </c>
      <c r="C141" s="192" t="e">
        <f t="shared" si="27"/>
        <v>#REF!</v>
      </c>
      <c r="D141" s="133">
        <f t="shared" si="27"/>
        <v>3</v>
      </c>
      <c r="E141" s="205" t="e">
        <f>+Sheet2!E14</f>
        <v>#REF!</v>
      </c>
      <c r="F141" s="133">
        <v>2</v>
      </c>
      <c r="G141" s="192">
        <f>+Sheet2!M14</f>
        <v>0</v>
      </c>
      <c r="H141" s="133">
        <v>1</v>
      </c>
    </row>
    <row r="142" spans="1:8" x14ac:dyDescent="0.55000000000000004">
      <c r="A142" s="200"/>
      <c r="B142" s="203" t="s">
        <v>66</v>
      </c>
      <c r="C142" s="192" t="e">
        <f t="shared" si="27"/>
        <v>#REF!</v>
      </c>
      <c r="D142" s="193">
        <f t="shared" si="27"/>
        <v>0</v>
      </c>
      <c r="E142" s="205" t="e">
        <f>+Sheet2!G14</f>
        <v>#REF!</v>
      </c>
      <c r="F142" s="193">
        <v>0</v>
      </c>
      <c r="G142" s="192">
        <f>+Sheet2!O14</f>
        <v>16258000</v>
      </c>
      <c r="H142" s="193">
        <v>0</v>
      </c>
    </row>
    <row r="143" spans="1:8" s="90" customFormat="1" x14ac:dyDescent="0.55000000000000004">
      <c r="A143" s="214"/>
      <c r="B143" s="207" t="s">
        <v>67</v>
      </c>
      <c r="C143" s="208" t="e">
        <f t="shared" si="27"/>
        <v>#REF!</v>
      </c>
      <c r="D143" s="209">
        <f t="shared" si="27"/>
        <v>2</v>
      </c>
      <c r="E143" s="210" t="e">
        <f>+Sheet2!I14</f>
        <v>#REF!</v>
      </c>
      <c r="F143" s="209">
        <v>2</v>
      </c>
      <c r="G143" s="208">
        <f>+Sheet2!Q14</f>
        <v>0</v>
      </c>
      <c r="H143" s="211">
        <v>0</v>
      </c>
    </row>
    <row r="144" spans="1:8" x14ac:dyDescent="0.55000000000000004">
      <c r="A144" s="202"/>
      <c r="B144" s="216" t="s">
        <v>548</v>
      </c>
      <c r="C144" s="217" t="e">
        <f>+C143*100/C140</f>
        <v>#REF!</v>
      </c>
      <c r="D144" s="196"/>
      <c r="E144" s="206"/>
      <c r="F144" s="196"/>
      <c r="G144" s="195"/>
      <c r="H144" s="196"/>
    </row>
    <row r="145" spans="1:8" s="125" customFormat="1" x14ac:dyDescent="0.55000000000000004">
      <c r="A145" s="199" t="s">
        <v>36</v>
      </c>
      <c r="B145" s="190" t="s">
        <v>5</v>
      </c>
      <c r="C145" s="191">
        <f t="shared" ref="C145:D148" si="28">+E145+G145</f>
        <v>0</v>
      </c>
      <c r="D145" s="194">
        <f t="shared" si="28"/>
        <v>2</v>
      </c>
      <c r="E145" s="204">
        <f>+E146+E147</f>
        <v>0</v>
      </c>
      <c r="F145" s="194">
        <f>+F146+F147</f>
        <v>2</v>
      </c>
      <c r="G145" s="191">
        <f>+G146+G147</f>
        <v>0</v>
      </c>
      <c r="H145" s="198">
        <f>+H146+H147</f>
        <v>0</v>
      </c>
    </row>
    <row r="146" spans="1:8" s="125" customFormat="1" x14ac:dyDescent="0.55000000000000004">
      <c r="A146" s="200"/>
      <c r="B146" s="203" t="s">
        <v>53</v>
      </c>
      <c r="C146" s="192">
        <f t="shared" si="28"/>
        <v>0</v>
      </c>
      <c r="D146" s="133">
        <f t="shared" si="28"/>
        <v>2</v>
      </c>
      <c r="E146" s="205">
        <f>+Sheet2!E6</f>
        <v>0</v>
      </c>
      <c r="F146" s="133">
        <v>2</v>
      </c>
      <c r="G146" s="192">
        <f>+Sheet2!M6</f>
        <v>0</v>
      </c>
      <c r="H146" s="193">
        <v>0</v>
      </c>
    </row>
    <row r="147" spans="1:8" x14ac:dyDescent="0.55000000000000004">
      <c r="A147" s="200"/>
      <c r="B147" s="203" t="s">
        <v>66</v>
      </c>
      <c r="C147" s="192">
        <f t="shared" si="28"/>
        <v>0</v>
      </c>
      <c r="D147" s="193">
        <f t="shared" si="28"/>
        <v>0</v>
      </c>
      <c r="E147" s="205">
        <f>+Sheet2!G6</f>
        <v>0</v>
      </c>
      <c r="F147" s="193">
        <v>0</v>
      </c>
      <c r="G147" s="192">
        <f>+Sheet2!O6</f>
        <v>0</v>
      </c>
      <c r="H147" s="193">
        <v>0</v>
      </c>
    </row>
    <row r="148" spans="1:8" s="90" customFormat="1" x14ac:dyDescent="0.55000000000000004">
      <c r="A148" s="214"/>
      <c r="B148" s="207" t="s">
        <v>67</v>
      </c>
      <c r="C148" s="208">
        <f t="shared" si="28"/>
        <v>0</v>
      </c>
      <c r="D148" s="209">
        <f t="shared" si="28"/>
        <v>2</v>
      </c>
      <c r="E148" s="210">
        <f>+Sheet2!I6</f>
        <v>0</v>
      </c>
      <c r="F148" s="209">
        <v>2</v>
      </c>
      <c r="G148" s="208">
        <f>+Sheet2!Q6</f>
        <v>0</v>
      </c>
      <c r="H148" s="211">
        <v>0</v>
      </c>
    </row>
    <row r="149" spans="1:8" x14ac:dyDescent="0.55000000000000004">
      <c r="A149" s="202"/>
      <c r="B149" s="216" t="s">
        <v>548</v>
      </c>
      <c r="C149" s="217" t="e">
        <f>+C148*100/C145</f>
        <v>#DIV/0!</v>
      </c>
      <c r="D149" s="196"/>
      <c r="E149" s="206"/>
      <c r="F149" s="196"/>
      <c r="G149" s="195"/>
      <c r="H149" s="196"/>
    </row>
    <row r="150" spans="1:8" s="125" customFormat="1" x14ac:dyDescent="0.55000000000000004">
      <c r="A150" s="199" t="s">
        <v>28</v>
      </c>
      <c r="B150" s="190" t="s">
        <v>5</v>
      </c>
      <c r="C150" s="191">
        <f t="shared" ref="C150:D153" si="29">+E150+G150</f>
        <v>1025000</v>
      </c>
      <c r="D150" s="194">
        <f t="shared" si="29"/>
        <v>1</v>
      </c>
      <c r="E150" s="204">
        <f>+E151+E152</f>
        <v>1025000</v>
      </c>
      <c r="F150" s="194">
        <f>+F151+F152</f>
        <v>1</v>
      </c>
      <c r="G150" s="191">
        <f>+G151+G152</f>
        <v>0</v>
      </c>
      <c r="H150" s="198">
        <f>+H151+H152</f>
        <v>0</v>
      </c>
    </row>
    <row r="151" spans="1:8" s="125" customFormat="1" x14ac:dyDescent="0.55000000000000004">
      <c r="A151" s="200"/>
      <c r="B151" s="203" t="s">
        <v>53</v>
      </c>
      <c r="C151" s="192">
        <f t="shared" si="29"/>
        <v>0</v>
      </c>
      <c r="D151" s="133">
        <f t="shared" si="29"/>
        <v>1</v>
      </c>
      <c r="E151" s="205">
        <f>+Sheet2!E12</f>
        <v>0</v>
      </c>
      <c r="F151" s="133">
        <v>1</v>
      </c>
      <c r="G151" s="192">
        <f>+Sheet2!M12</f>
        <v>0</v>
      </c>
      <c r="H151" s="193">
        <v>0</v>
      </c>
    </row>
    <row r="152" spans="1:8" x14ac:dyDescent="0.55000000000000004">
      <c r="A152" s="200"/>
      <c r="B152" s="203" t="s">
        <v>66</v>
      </c>
      <c r="C152" s="192">
        <f t="shared" si="29"/>
        <v>1025000</v>
      </c>
      <c r="D152" s="193">
        <f t="shared" si="29"/>
        <v>0</v>
      </c>
      <c r="E152" s="205">
        <f>+Sheet2!G12</f>
        <v>1025000</v>
      </c>
      <c r="F152" s="193">
        <v>0</v>
      </c>
      <c r="G152" s="192">
        <f>+Sheet2!O12</f>
        <v>0</v>
      </c>
      <c r="H152" s="193">
        <v>0</v>
      </c>
    </row>
    <row r="153" spans="1:8" s="90" customFormat="1" x14ac:dyDescent="0.55000000000000004">
      <c r="A153" s="214"/>
      <c r="B153" s="207" t="s">
        <v>67</v>
      </c>
      <c r="C153" s="208">
        <f t="shared" si="29"/>
        <v>0</v>
      </c>
      <c r="D153" s="209">
        <f t="shared" si="29"/>
        <v>1</v>
      </c>
      <c r="E153" s="210">
        <f>+Sheet2!I12</f>
        <v>0</v>
      </c>
      <c r="F153" s="209">
        <v>1</v>
      </c>
      <c r="G153" s="208">
        <f>+Sheet2!Q12</f>
        <v>0</v>
      </c>
      <c r="H153" s="211">
        <v>0</v>
      </c>
    </row>
    <row r="154" spans="1:8" x14ac:dyDescent="0.55000000000000004">
      <c r="A154" s="202"/>
      <c r="B154" s="216" t="s">
        <v>548</v>
      </c>
      <c r="C154" s="217">
        <f>+C153*100/C150</f>
        <v>0</v>
      </c>
      <c r="D154" s="196"/>
      <c r="E154" s="206"/>
      <c r="F154" s="196"/>
      <c r="G154" s="195"/>
      <c r="H154" s="196"/>
    </row>
    <row r="155" spans="1:8" s="125" customFormat="1" x14ac:dyDescent="0.55000000000000004">
      <c r="A155" s="199" t="s">
        <v>41</v>
      </c>
      <c r="B155" s="190" t="s">
        <v>5</v>
      </c>
      <c r="C155" s="191">
        <f t="shared" ref="C155:D158" si="30">+E155+G155</f>
        <v>0</v>
      </c>
      <c r="D155" s="194">
        <f t="shared" si="30"/>
        <v>1</v>
      </c>
      <c r="E155" s="204">
        <f>+E156+E157</f>
        <v>0</v>
      </c>
      <c r="F155" s="194">
        <f>+F156+F157</f>
        <v>1</v>
      </c>
      <c r="G155" s="191">
        <f>+G156+G157</f>
        <v>0</v>
      </c>
      <c r="H155" s="198">
        <f>+H156+H157</f>
        <v>0</v>
      </c>
    </row>
    <row r="156" spans="1:8" s="125" customFormat="1" x14ac:dyDescent="0.55000000000000004">
      <c r="A156" s="200"/>
      <c r="B156" s="203" t="s">
        <v>53</v>
      </c>
      <c r="C156" s="192">
        <f t="shared" si="30"/>
        <v>0</v>
      </c>
      <c r="D156" s="133">
        <f t="shared" si="30"/>
        <v>1</v>
      </c>
      <c r="E156" s="205">
        <f>+Sheet2!E11</f>
        <v>0</v>
      </c>
      <c r="F156" s="133">
        <v>1</v>
      </c>
      <c r="G156" s="192">
        <f>+Sheet2!M11</f>
        <v>0</v>
      </c>
      <c r="H156" s="193">
        <v>0</v>
      </c>
    </row>
    <row r="157" spans="1:8" x14ac:dyDescent="0.55000000000000004">
      <c r="A157" s="200"/>
      <c r="B157" s="203" t="s">
        <v>66</v>
      </c>
      <c r="C157" s="192">
        <f t="shared" si="30"/>
        <v>0</v>
      </c>
      <c r="D157" s="193">
        <f t="shared" si="30"/>
        <v>0</v>
      </c>
      <c r="E157" s="205">
        <f>+Sheet2!G11</f>
        <v>0</v>
      </c>
      <c r="F157" s="193">
        <v>0</v>
      </c>
      <c r="G157" s="192">
        <f>+Sheet2!O11</f>
        <v>0</v>
      </c>
      <c r="H157" s="193">
        <v>0</v>
      </c>
    </row>
    <row r="158" spans="1:8" s="90" customFormat="1" x14ac:dyDescent="0.55000000000000004">
      <c r="A158" s="214"/>
      <c r="B158" s="207" t="s">
        <v>67</v>
      </c>
      <c r="C158" s="208">
        <f t="shared" si="30"/>
        <v>0</v>
      </c>
      <c r="D158" s="209">
        <f t="shared" si="30"/>
        <v>1</v>
      </c>
      <c r="E158" s="210">
        <f>+Sheet2!I11</f>
        <v>0</v>
      </c>
      <c r="F158" s="209">
        <v>1</v>
      </c>
      <c r="G158" s="208">
        <f>+Sheet2!Q11</f>
        <v>0</v>
      </c>
      <c r="H158" s="211">
        <v>0</v>
      </c>
    </row>
    <row r="159" spans="1:8" x14ac:dyDescent="0.55000000000000004">
      <c r="A159" s="202"/>
      <c r="B159" s="216" t="s">
        <v>548</v>
      </c>
      <c r="C159" s="217" t="e">
        <f>+C158*100/C155</f>
        <v>#DIV/0!</v>
      </c>
      <c r="D159" s="196"/>
      <c r="E159" s="206"/>
      <c r="F159" s="196"/>
      <c r="G159" s="195"/>
      <c r="H159" s="196"/>
    </row>
    <row r="160" spans="1:8" s="125" customFormat="1" x14ac:dyDescent="0.55000000000000004">
      <c r="A160" s="199" t="s">
        <v>454</v>
      </c>
      <c r="B160" s="190" t="s">
        <v>5</v>
      </c>
      <c r="C160" s="191">
        <f t="shared" ref="C160:D163" si="31">+E160+G160</f>
        <v>881837800</v>
      </c>
      <c r="D160" s="194">
        <f t="shared" si="31"/>
        <v>1</v>
      </c>
      <c r="E160" s="204">
        <f>+E161+E162</f>
        <v>842583000</v>
      </c>
      <c r="F160" s="194">
        <f>+F161+F162</f>
        <v>1</v>
      </c>
      <c r="G160" s="191">
        <f>+G161+G162</f>
        <v>39254800</v>
      </c>
      <c r="H160" s="198">
        <f>+H161+H162</f>
        <v>0</v>
      </c>
    </row>
    <row r="161" spans="1:8" s="125" customFormat="1" x14ac:dyDescent="0.55000000000000004">
      <c r="A161" s="200"/>
      <c r="B161" s="203" t="s">
        <v>53</v>
      </c>
      <c r="C161" s="192">
        <f t="shared" si="31"/>
        <v>0</v>
      </c>
      <c r="D161" s="133">
        <f t="shared" si="31"/>
        <v>1</v>
      </c>
      <c r="E161" s="205">
        <f>+Sheet2!E10</f>
        <v>0</v>
      </c>
      <c r="F161" s="133">
        <v>1</v>
      </c>
      <c r="G161" s="192">
        <f>+Sheet2!M10</f>
        <v>0</v>
      </c>
      <c r="H161" s="193">
        <v>0</v>
      </c>
    </row>
    <row r="162" spans="1:8" x14ac:dyDescent="0.55000000000000004">
      <c r="A162" s="200"/>
      <c r="B162" s="203" t="s">
        <v>66</v>
      </c>
      <c r="C162" s="192">
        <f t="shared" si="31"/>
        <v>881837800</v>
      </c>
      <c r="D162" s="193">
        <f t="shared" si="31"/>
        <v>0</v>
      </c>
      <c r="E162" s="205">
        <f>+Sheet2!G10</f>
        <v>842583000</v>
      </c>
      <c r="F162" s="193">
        <v>0</v>
      </c>
      <c r="G162" s="192">
        <f>+Sheet2!O10</f>
        <v>39254800</v>
      </c>
      <c r="H162" s="193">
        <f>1-1</f>
        <v>0</v>
      </c>
    </row>
    <row r="163" spans="1:8" s="90" customFormat="1" x14ac:dyDescent="0.55000000000000004">
      <c r="A163" s="214"/>
      <c r="B163" s="207" t="s">
        <v>67</v>
      </c>
      <c r="C163" s="208">
        <f t="shared" si="31"/>
        <v>0</v>
      </c>
      <c r="D163" s="209">
        <f t="shared" si="31"/>
        <v>1</v>
      </c>
      <c r="E163" s="210">
        <f>+Sheet2!I10</f>
        <v>0</v>
      </c>
      <c r="F163" s="209">
        <v>1</v>
      </c>
      <c r="G163" s="208">
        <f>+Sheet2!Q10</f>
        <v>0</v>
      </c>
      <c r="H163" s="211">
        <v>0</v>
      </c>
    </row>
    <row r="164" spans="1:8" x14ac:dyDescent="0.55000000000000004">
      <c r="A164" s="202"/>
      <c r="B164" s="216" t="s">
        <v>548</v>
      </c>
      <c r="C164" s="217">
        <f>+C163*100/C160</f>
        <v>0</v>
      </c>
      <c r="D164" s="196"/>
      <c r="E164" s="206"/>
      <c r="F164" s="196"/>
      <c r="G164" s="195"/>
      <c r="H164" s="196"/>
    </row>
    <row r="165" spans="1:8" s="125" customFormat="1" x14ac:dyDescent="0.55000000000000004">
      <c r="A165" s="199" t="s">
        <v>37</v>
      </c>
      <c r="B165" s="190" t="s">
        <v>5</v>
      </c>
      <c r="C165" s="191">
        <f t="shared" ref="C165:D168" si="32">+E165+G165</f>
        <v>983900</v>
      </c>
      <c r="D165" s="194">
        <f t="shared" si="32"/>
        <v>1</v>
      </c>
      <c r="E165" s="204">
        <f>+E166+E167</f>
        <v>983900</v>
      </c>
      <c r="F165" s="194">
        <f>+F166+F167</f>
        <v>1</v>
      </c>
      <c r="G165" s="191">
        <f>+G166+G167</f>
        <v>0</v>
      </c>
      <c r="H165" s="198">
        <f>+H166+H167</f>
        <v>0</v>
      </c>
    </row>
    <row r="166" spans="1:8" s="125" customFormat="1" x14ac:dyDescent="0.55000000000000004">
      <c r="A166" s="200"/>
      <c r="B166" s="203" t="s">
        <v>53</v>
      </c>
      <c r="C166" s="192">
        <f t="shared" si="32"/>
        <v>0</v>
      </c>
      <c r="D166" s="133">
        <f t="shared" si="32"/>
        <v>1</v>
      </c>
      <c r="E166" s="205">
        <f>+Sheet2!E7</f>
        <v>0</v>
      </c>
      <c r="F166" s="133">
        <v>1</v>
      </c>
      <c r="G166" s="192">
        <f>+Sheet2!M7</f>
        <v>0</v>
      </c>
      <c r="H166" s="193">
        <v>0</v>
      </c>
    </row>
    <row r="167" spans="1:8" x14ac:dyDescent="0.55000000000000004">
      <c r="A167" s="200"/>
      <c r="B167" s="203" t="s">
        <v>66</v>
      </c>
      <c r="C167" s="192">
        <f t="shared" si="32"/>
        <v>983900</v>
      </c>
      <c r="D167" s="193">
        <f t="shared" si="32"/>
        <v>0</v>
      </c>
      <c r="E167" s="205">
        <f>+Sheet2!G7</f>
        <v>983900</v>
      </c>
      <c r="F167" s="193">
        <v>0</v>
      </c>
      <c r="G167" s="192">
        <f>+Sheet2!O7</f>
        <v>0</v>
      </c>
      <c r="H167" s="193">
        <v>0</v>
      </c>
    </row>
    <row r="168" spans="1:8" s="90" customFormat="1" x14ac:dyDescent="0.55000000000000004">
      <c r="A168" s="214"/>
      <c r="B168" s="207" t="s">
        <v>67</v>
      </c>
      <c r="C168" s="208">
        <f t="shared" si="32"/>
        <v>0</v>
      </c>
      <c r="D168" s="209">
        <f>+F163+H163</f>
        <v>1</v>
      </c>
      <c r="E168" s="210">
        <f>+Sheet2!I7</f>
        <v>0</v>
      </c>
      <c r="F168" s="133">
        <v>1</v>
      </c>
      <c r="G168" s="208">
        <f>+Sheet2!Q7</f>
        <v>0</v>
      </c>
      <c r="H168" s="211">
        <v>0</v>
      </c>
    </row>
    <row r="169" spans="1:8" x14ac:dyDescent="0.55000000000000004">
      <c r="A169" s="202"/>
      <c r="B169" s="216" t="s">
        <v>548</v>
      </c>
      <c r="C169" s="217">
        <f>+C168*100/C165</f>
        <v>0</v>
      </c>
      <c r="D169" s="196"/>
      <c r="E169" s="206"/>
      <c r="F169" s="196"/>
      <c r="G169" s="195"/>
      <c r="H169" s="196"/>
    </row>
    <row r="170" spans="1:8" s="125" customFormat="1" x14ac:dyDescent="0.55000000000000004">
      <c r="A170" s="199" t="s">
        <v>38</v>
      </c>
      <c r="B170" s="190" t="s">
        <v>5</v>
      </c>
      <c r="C170" s="191">
        <f t="shared" ref="C170:D173" si="33">+E170+G170</f>
        <v>3742700</v>
      </c>
      <c r="D170" s="194">
        <f t="shared" si="33"/>
        <v>3</v>
      </c>
      <c r="E170" s="204">
        <f>+E171+E172</f>
        <v>3742700</v>
      </c>
      <c r="F170" s="194">
        <f>+F171+F172</f>
        <v>3</v>
      </c>
      <c r="G170" s="191">
        <f>+G171+G172</f>
        <v>0</v>
      </c>
      <c r="H170" s="198">
        <f>+H171+H172</f>
        <v>0</v>
      </c>
    </row>
    <row r="171" spans="1:8" s="125" customFormat="1" x14ac:dyDescent="0.55000000000000004">
      <c r="A171" s="200"/>
      <c r="B171" s="203" t="s">
        <v>53</v>
      </c>
      <c r="C171" s="192">
        <f t="shared" si="33"/>
        <v>0</v>
      </c>
      <c r="D171" s="133">
        <f t="shared" si="33"/>
        <v>3</v>
      </c>
      <c r="E171" s="205">
        <f>+Sheet2!E8</f>
        <v>0</v>
      </c>
      <c r="F171" s="133">
        <v>3</v>
      </c>
      <c r="G171" s="192">
        <f>+Sheet2!M8</f>
        <v>0</v>
      </c>
      <c r="H171" s="193">
        <v>0</v>
      </c>
    </row>
    <row r="172" spans="1:8" x14ac:dyDescent="0.55000000000000004">
      <c r="A172" s="200"/>
      <c r="B172" s="203" t="s">
        <v>66</v>
      </c>
      <c r="C172" s="192">
        <f t="shared" si="33"/>
        <v>3742700</v>
      </c>
      <c r="D172" s="193">
        <f t="shared" si="33"/>
        <v>0</v>
      </c>
      <c r="E172" s="205">
        <f>+Sheet2!G8</f>
        <v>3742700</v>
      </c>
      <c r="F172" s="193">
        <v>0</v>
      </c>
      <c r="G172" s="192">
        <f>+Sheet2!O8</f>
        <v>0</v>
      </c>
      <c r="H172" s="193">
        <v>0</v>
      </c>
    </row>
    <row r="173" spans="1:8" s="90" customFormat="1" x14ac:dyDescent="0.55000000000000004">
      <c r="A173" s="214"/>
      <c r="B173" s="207" t="s">
        <v>67</v>
      </c>
      <c r="C173" s="208">
        <f t="shared" si="33"/>
        <v>0</v>
      </c>
      <c r="D173" s="209">
        <f t="shared" si="33"/>
        <v>3</v>
      </c>
      <c r="E173" s="210">
        <f>+Sheet2!I8</f>
        <v>0</v>
      </c>
      <c r="F173" s="209">
        <v>3</v>
      </c>
      <c r="G173" s="208">
        <f>+Sheet2!Q8</f>
        <v>0</v>
      </c>
      <c r="H173" s="211">
        <v>0</v>
      </c>
    </row>
    <row r="174" spans="1:8" x14ac:dyDescent="0.55000000000000004">
      <c r="A174" s="74"/>
      <c r="B174" s="220" t="s">
        <v>548</v>
      </c>
      <c r="C174" s="221">
        <f>+C173*100/C170</f>
        <v>0</v>
      </c>
      <c r="D174" s="222"/>
      <c r="E174" s="223"/>
      <c r="F174" s="222"/>
      <c r="G174" s="224"/>
      <c r="H174" s="222"/>
    </row>
    <row r="175" spans="1:8" s="125" customFormat="1" x14ac:dyDescent="0.55000000000000004">
      <c r="A175" s="190" t="s">
        <v>31</v>
      </c>
      <c r="B175" s="190" t="s">
        <v>5</v>
      </c>
      <c r="C175" s="191">
        <f t="shared" ref="C175:D178" si="34">+E175+G175</f>
        <v>0</v>
      </c>
      <c r="D175" s="194">
        <f t="shared" si="34"/>
        <v>1</v>
      </c>
      <c r="E175" s="204">
        <f>+E176+E177</f>
        <v>0</v>
      </c>
      <c r="F175" s="194">
        <f>+F176+F177</f>
        <v>1</v>
      </c>
      <c r="G175" s="204">
        <f>+G176+G177</f>
        <v>0</v>
      </c>
      <c r="H175" s="198">
        <f>+H176+H177</f>
        <v>0</v>
      </c>
    </row>
    <row r="176" spans="1:8" s="125" customFormat="1" x14ac:dyDescent="0.55000000000000004">
      <c r="A176" s="220"/>
      <c r="B176" s="203" t="s">
        <v>53</v>
      </c>
      <c r="C176" s="192">
        <f t="shared" si="34"/>
        <v>0</v>
      </c>
      <c r="D176" s="133">
        <f t="shared" si="34"/>
        <v>1</v>
      </c>
      <c r="E176" s="205">
        <f>+Sheet2!E15</f>
        <v>0</v>
      </c>
      <c r="F176" s="133">
        <v>1</v>
      </c>
      <c r="G176" s="205">
        <f>+Sheet2!M15</f>
        <v>0</v>
      </c>
      <c r="H176" s="193">
        <v>0</v>
      </c>
    </row>
    <row r="177" spans="1:9" x14ac:dyDescent="0.55000000000000004">
      <c r="A177" s="220"/>
      <c r="B177" s="203" t="s">
        <v>66</v>
      </c>
      <c r="C177" s="192">
        <f t="shared" si="34"/>
        <v>0</v>
      </c>
      <c r="D177" s="193">
        <f t="shared" si="34"/>
        <v>0</v>
      </c>
      <c r="E177" s="205">
        <f>+Sheet2!G15</f>
        <v>0</v>
      </c>
      <c r="F177" s="193">
        <v>0</v>
      </c>
      <c r="G177" s="205">
        <f>+Sheet2!O15</f>
        <v>0</v>
      </c>
      <c r="H177" s="193">
        <f>1-1</f>
        <v>0</v>
      </c>
    </row>
    <row r="178" spans="1:9" s="90" customFormat="1" x14ac:dyDescent="0.55000000000000004">
      <c r="A178" s="207"/>
      <c r="B178" s="207" t="s">
        <v>67</v>
      </c>
      <c r="C178" s="208">
        <f t="shared" si="34"/>
        <v>0</v>
      </c>
      <c r="D178" s="211">
        <f t="shared" si="34"/>
        <v>0</v>
      </c>
      <c r="E178" s="210">
        <f>+Sheet2!I15</f>
        <v>0</v>
      </c>
      <c r="F178" s="211">
        <v>0</v>
      </c>
      <c r="G178" s="210">
        <f>+Sheet2!Q15</f>
        <v>0</v>
      </c>
      <c r="H178" s="211">
        <v>0</v>
      </c>
    </row>
    <row r="179" spans="1:9" x14ac:dyDescent="0.55000000000000004">
      <c r="A179" s="225"/>
      <c r="B179" s="216" t="s">
        <v>548</v>
      </c>
      <c r="C179" s="217" t="e">
        <f>+C178*100/C175</f>
        <v>#DIV/0!</v>
      </c>
      <c r="D179" s="196"/>
      <c r="E179" s="206"/>
      <c r="F179" s="196"/>
      <c r="G179" s="206"/>
      <c r="H179" s="196"/>
    </row>
    <row r="189" spans="1:9" x14ac:dyDescent="0.55000000000000004">
      <c r="C189" s="34" t="e">
        <f>+C5+C10+C15+C20+C25+C30+C35+C40+C45+C50+C55+C60+C65+C70+C75+C80+C85+C90+C95+C100+C105+C110+C115+C120+C125+C130+C135+C140+C145+C150+C155+C160+C165+C170+C175</f>
        <v>#VALUE!</v>
      </c>
      <c r="E189" s="34" t="e">
        <f>+บช.น.!G33+ภ.4!G27+ภ.4!G28+ภ.6!G54+บช.ส.!G21+บช.ตชด.!G105+กมค.!G24+สทส.!#REF!+สทส.!#REF!+สกบ.!G91+สกบ.!G92+สกบ.!G101+สกบ.!#REF!+สง.ก.ตร.!G15+บ.ตร.!G23+บ.ตร.!G30+สงป.!G15</f>
        <v>#REF!</v>
      </c>
      <c r="G189" s="34" t="e">
        <f>+C189+E189</f>
        <v>#VALUE!</v>
      </c>
      <c r="I189" s="76" t="e">
        <f>+G189-สรุป!C8</f>
        <v>#VALUE!</v>
      </c>
    </row>
    <row r="190" spans="1:9" x14ac:dyDescent="0.55000000000000004">
      <c r="E190" s="34" t="s">
        <v>613</v>
      </c>
    </row>
  </sheetData>
  <mergeCells count="3">
    <mergeCell ref="B4:C4"/>
    <mergeCell ref="A1:H1"/>
    <mergeCell ref="A2:H2"/>
  </mergeCells>
  <pageMargins left="0.35433070866141736" right="0.23622047244094491" top="0.55118110236220474" bottom="0.27559055118110237" header="0.31496062992125984" footer="0.27559055118110237"/>
  <pageSetup paperSize="9" scale="95" orientation="portrait" r:id="rId1"/>
  <headerFooter>
    <oddHeader>&amp;L&amp;D &amp;T&amp;Rหน้า 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13" zoomScaleNormal="100" zoomScaleSheetLayoutView="100" workbookViewId="0">
      <selection activeCell="I20" sqref="I20"/>
    </sheetView>
  </sheetViews>
  <sheetFormatPr defaultColWidth="9.140625" defaultRowHeight="24" x14ac:dyDescent="0.55000000000000004"/>
  <cols>
    <col min="1" max="2" width="9.140625" style="51"/>
    <col min="3" max="3" width="13.85546875" style="51" customWidth="1"/>
    <col min="4" max="4" width="15.85546875" style="51" customWidth="1"/>
    <col min="5" max="5" width="9.140625" style="51"/>
    <col min="6" max="6" width="18.140625" style="51" bestFit="1" customWidth="1"/>
    <col min="7" max="8" width="9.140625" style="51"/>
    <col min="9" max="9" width="12.42578125" style="51" bestFit="1" customWidth="1"/>
    <col min="10" max="16384" width="9.140625" style="51"/>
  </cols>
  <sheetData>
    <row r="1" spans="1:6" s="35" customFormat="1" x14ac:dyDescent="0.55000000000000004">
      <c r="A1" s="33" t="s">
        <v>542</v>
      </c>
      <c r="B1" s="33"/>
      <c r="C1" s="33"/>
      <c r="D1" s="33"/>
      <c r="E1" s="34"/>
    </row>
    <row r="2" spans="1:6" s="37" customFormat="1" x14ac:dyDescent="0.55000000000000004">
      <c r="A2" s="33" t="s">
        <v>614</v>
      </c>
      <c r="B2" s="33"/>
      <c r="C2" s="33"/>
      <c r="D2" s="33"/>
      <c r="E2" s="36"/>
    </row>
    <row r="3" spans="1:6" s="38" customFormat="1" x14ac:dyDescent="0.55000000000000004">
      <c r="A3" s="694" t="s">
        <v>4</v>
      </c>
      <c r="B3" s="695"/>
      <c r="C3" s="441" t="s">
        <v>546</v>
      </c>
      <c r="D3" s="441" t="s">
        <v>5</v>
      </c>
      <c r="E3" s="450"/>
      <c r="F3" s="450"/>
    </row>
    <row r="4" spans="1:6" s="38" customFormat="1" ht="24.75" thickBot="1" x14ac:dyDescent="0.6">
      <c r="A4" s="696" t="s">
        <v>615</v>
      </c>
      <c r="B4" s="697"/>
      <c r="C4" s="39"/>
      <c r="D4" s="39"/>
      <c r="E4" s="450"/>
      <c r="F4" s="98"/>
    </row>
    <row r="5" spans="1:6" s="45" customFormat="1" ht="24.75" thickTop="1" x14ac:dyDescent="0.55000000000000004">
      <c r="A5" s="40" t="s">
        <v>2</v>
      </c>
      <c r="B5" s="41"/>
      <c r="C5" s="42"/>
      <c r="D5" s="42"/>
      <c r="E5" s="43"/>
      <c r="F5" s="44"/>
    </row>
    <row r="6" spans="1:6" x14ac:dyDescent="0.55000000000000004">
      <c r="A6" s="46" t="s">
        <v>616</v>
      </c>
      <c r="B6" s="47"/>
      <c r="C6" s="48"/>
      <c r="D6" s="48"/>
      <c r="E6" s="49"/>
      <c r="F6" s="50"/>
    </row>
    <row r="7" spans="1:6" x14ac:dyDescent="0.55000000000000004">
      <c r="A7" s="46" t="s">
        <v>617</v>
      </c>
      <c r="B7" s="47"/>
      <c r="C7" s="48"/>
      <c r="D7" s="48"/>
      <c r="E7" s="49"/>
    </row>
    <row r="8" spans="1:6" x14ac:dyDescent="0.55000000000000004">
      <c r="A8" s="46" t="s">
        <v>618</v>
      </c>
      <c r="B8" s="47"/>
      <c r="C8" s="48"/>
      <c r="D8" s="48"/>
      <c r="E8" s="49"/>
    </row>
    <row r="9" spans="1:6" x14ac:dyDescent="0.55000000000000004">
      <c r="A9" s="46" t="s">
        <v>619</v>
      </c>
      <c r="B9" s="47"/>
      <c r="C9" s="48"/>
      <c r="D9" s="48"/>
      <c r="E9" s="49"/>
      <c r="F9" s="79"/>
    </row>
    <row r="10" spans="1:6" x14ac:dyDescent="0.55000000000000004">
      <c r="A10" s="52"/>
      <c r="B10" s="53"/>
      <c r="C10" s="54"/>
      <c r="D10" s="54"/>
      <c r="E10" s="49"/>
    </row>
    <row r="11" spans="1:6" s="45" customFormat="1" x14ac:dyDescent="0.55000000000000004">
      <c r="A11" s="55" t="s">
        <v>59</v>
      </c>
      <c r="B11" s="56"/>
      <c r="C11" s="57"/>
      <c r="D11" s="57"/>
      <c r="E11" s="43"/>
      <c r="F11" s="58"/>
    </row>
    <row r="12" spans="1:6" x14ac:dyDescent="0.55000000000000004">
      <c r="A12" s="46" t="s">
        <v>616</v>
      </c>
      <c r="B12" s="47"/>
      <c r="C12" s="48"/>
      <c r="D12" s="48"/>
      <c r="E12" s="49"/>
    </row>
    <row r="13" spans="1:6" x14ac:dyDescent="0.55000000000000004">
      <c r="A13" s="46" t="s">
        <v>617</v>
      </c>
      <c r="B13" s="47"/>
      <c r="C13" s="48"/>
      <c r="D13" s="48"/>
      <c r="E13" s="49"/>
    </row>
    <row r="14" spans="1:6" x14ac:dyDescent="0.55000000000000004">
      <c r="A14" s="46" t="s">
        <v>618</v>
      </c>
      <c r="B14" s="47"/>
      <c r="C14" s="48"/>
      <c r="D14" s="48"/>
      <c r="E14" s="49"/>
    </row>
    <row r="15" spans="1:6" x14ac:dyDescent="0.55000000000000004">
      <c r="A15" s="46" t="s">
        <v>619</v>
      </c>
      <c r="B15" s="47"/>
      <c r="C15" s="48"/>
      <c r="D15" s="48"/>
      <c r="E15" s="49"/>
      <c r="F15" s="97"/>
    </row>
    <row r="16" spans="1:6" x14ac:dyDescent="0.55000000000000004">
      <c r="A16" s="52"/>
      <c r="B16" s="53"/>
      <c r="C16" s="54"/>
      <c r="D16" s="54"/>
      <c r="E16" s="49"/>
    </row>
    <row r="17" spans="1:5" s="45" customFormat="1" x14ac:dyDescent="0.55000000000000004">
      <c r="A17" s="59" t="s">
        <v>620</v>
      </c>
      <c r="B17" s="60"/>
      <c r="C17" s="61"/>
      <c r="D17" s="61"/>
      <c r="E17" s="43"/>
    </row>
    <row r="18" spans="1:5" x14ac:dyDescent="0.55000000000000004">
      <c r="A18" s="46" t="s">
        <v>616</v>
      </c>
      <c r="B18" s="47"/>
      <c r="C18" s="48"/>
      <c r="D18" s="48"/>
      <c r="E18" s="49"/>
    </row>
    <row r="19" spans="1:5" x14ac:dyDescent="0.55000000000000004">
      <c r="A19" s="46" t="s">
        <v>617</v>
      </c>
      <c r="B19" s="47"/>
      <c r="C19" s="48"/>
      <c r="D19" s="48"/>
      <c r="E19" s="49"/>
    </row>
    <row r="20" spans="1:5" x14ac:dyDescent="0.55000000000000004">
      <c r="A20" s="46" t="s">
        <v>618</v>
      </c>
      <c r="B20" s="47"/>
      <c r="C20" s="48"/>
      <c r="D20" s="48"/>
      <c r="E20" s="49"/>
    </row>
    <row r="21" spans="1:5" x14ac:dyDescent="0.55000000000000004">
      <c r="A21" s="52" t="s">
        <v>619</v>
      </c>
      <c r="B21" s="53"/>
      <c r="C21" s="54"/>
      <c r="D21" s="54"/>
      <c r="E21" s="49"/>
    </row>
    <row r="22" spans="1:5" x14ac:dyDescent="0.55000000000000004">
      <c r="C22" s="64">
        <f>+C4-[36]Sheet6!$B$6</f>
        <v>-208</v>
      </c>
      <c r="D22" s="65">
        <f>+D4-[36]Sheet6!$C$6</f>
        <v>-2858391400</v>
      </c>
    </row>
    <row r="33" spans="1:9" x14ac:dyDescent="0.55000000000000004">
      <c r="A33" s="45" t="s">
        <v>2</v>
      </c>
    </row>
    <row r="34" spans="1:9" s="45" customFormat="1" x14ac:dyDescent="0.55000000000000004">
      <c r="A34" s="45" t="s">
        <v>621</v>
      </c>
      <c r="D34" s="43">
        <f>+C35+C39</f>
        <v>114000000</v>
      </c>
      <c r="E34" s="45" t="s">
        <v>622</v>
      </c>
    </row>
    <row r="35" spans="1:9" s="45" customFormat="1" x14ac:dyDescent="0.55000000000000004">
      <c r="A35" s="450" t="s">
        <v>454</v>
      </c>
      <c r="C35" s="43">
        <v>90000000</v>
      </c>
      <c r="D35" s="43" t="s">
        <v>622</v>
      </c>
    </row>
    <row r="36" spans="1:9" x14ac:dyDescent="0.55000000000000004">
      <c r="A36" s="51" t="s">
        <v>623</v>
      </c>
    </row>
    <row r="37" spans="1:9" x14ac:dyDescent="0.55000000000000004">
      <c r="A37" s="51" t="s">
        <v>624</v>
      </c>
    </row>
    <row r="39" spans="1:9" x14ac:dyDescent="0.55000000000000004">
      <c r="A39" s="450" t="s">
        <v>625</v>
      </c>
      <c r="C39" s="43">
        <v>24000000</v>
      </c>
      <c r="D39" s="45" t="s">
        <v>622</v>
      </c>
      <c r="I39" s="79">
        <f>+C39+D70</f>
        <v>37793800</v>
      </c>
    </row>
    <row r="40" spans="1:9" x14ac:dyDescent="0.55000000000000004">
      <c r="A40" s="51" t="s">
        <v>626</v>
      </c>
    </row>
    <row r="42" spans="1:9" s="45" customFormat="1" x14ac:dyDescent="0.55000000000000004">
      <c r="A42" s="45" t="s">
        <v>59</v>
      </c>
    </row>
    <row r="43" spans="1:9" s="45" customFormat="1" x14ac:dyDescent="0.55000000000000004">
      <c r="A43" s="45" t="s">
        <v>627</v>
      </c>
      <c r="D43" s="66">
        <f>+D44+D65</f>
        <v>974573500</v>
      </c>
      <c r="E43" s="45" t="s">
        <v>628</v>
      </c>
    </row>
    <row r="44" spans="1:9" s="45" customFormat="1" x14ac:dyDescent="0.55000000000000004">
      <c r="A44" s="45" t="s">
        <v>629</v>
      </c>
      <c r="D44" s="43">
        <f>+D46+D53+D57+D60</f>
        <v>948179700</v>
      </c>
      <c r="E44" s="45" t="s">
        <v>628</v>
      </c>
      <c r="F44" s="44"/>
    </row>
    <row r="45" spans="1:9" x14ac:dyDescent="0.55000000000000004">
      <c r="D45" s="62"/>
    </row>
    <row r="46" spans="1:9" x14ac:dyDescent="0.55000000000000004">
      <c r="A46" s="450" t="s">
        <v>17</v>
      </c>
      <c r="D46" s="43">
        <f>35287900+700000000</f>
        <v>735287900</v>
      </c>
      <c r="E46" s="45" t="s">
        <v>622</v>
      </c>
    </row>
    <row r="47" spans="1:9" x14ac:dyDescent="0.55000000000000004">
      <c r="A47" s="51" t="s">
        <v>630</v>
      </c>
    </row>
    <row r="48" spans="1:9" x14ac:dyDescent="0.55000000000000004">
      <c r="A48" s="51" t="s">
        <v>631</v>
      </c>
    </row>
    <row r="49" spans="1:5" x14ac:dyDescent="0.55000000000000004">
      <c r="A49" s="51" t="s">
        <v>632</v>
      </c>
    </row>
    <row r="50" spans="1:5" x14ac:dyDescent="0.55000000000000004">
      <c r="A50" s="51" t="s">
        <v>633</v>
      </c>
    </row>
    <row r="51" spans="1:5" x14ac:dyDescent="0.55000000000000004">
      <c r="A51" s="51" t="s">
        <v>634</v>
      </c>
    </row>
    <row r="53" spans="1:5" x14ac:dyDescent="0.55000000000000004">
      <c r="A53" s="450" t="s">
        <v>26</v>
      </c>
      <c r="D53" s="43">
        <v>41725000</v>
      </c>
      <c r="E53" s="45" t="s">
        <v>622</v>
      </c>
    </row>
    <row r="54" spans="1:5" x14ac:dyDescent="0.55000000000000004">
      <c r="A54" s="51" t="s">
        <v>635</v>
      </c>
    </row>
    <row r="55" spans="1:5" x14ac:dyDescent="0.55000000000000004">
      <c r="A55" s="51" t="s">
        <v>636</v>
      </c>
    </row>
    <row r="57" spans="1:5" x14ac:dyDescent="0.55000000000000004">
      <c r="A57" s="450" t="s">
        <v>27</v>
      </c>
      <c r="D57" s="43">
        <v>113341200</v>
      </c>
      <c r="E57" s="45" t="s">
        <v>622</v>
      </c>
    </row>
    <row r="58" spans="1:5" x14ac:dyDescent="0.55000000000000004">
      <c r="A58" s="51" t="s">
        <v>637</v>
      </c>
    </row>
    <row r="60" spans="1:5" x14ac:dyDescent="0.55000000000000004">
      <c r="A60" s="450" t="s">
        <v>34</v>
      </c>
      <c r="D60" s="43">
        <v>57825600</v>
      </c>
      <c r="E60" s="45" t="s">
        <v>622</v>
      </c>
    </row>
    <row r="61" spans="1:5" x14ac:dyDescent="0.55000000000000004">
      <c r="A61" s="51" t="s">
        <v>638</v>
      </c>
    </row>
    <row r="62" spans="1:5" x14ac:dyDescent="0.55000000000000004">
      <c r="A62" s="51" t="s">
        <v>639</v>
      </c>
    </row>
    <row r="65" spans="1:6" s="45" customFormat="1" x14ac:dyDescent="0.55000000000000004">
      <c r="A65" s="45" t="s">
        <v>640</v>
      </c>
      <c r="D65" s="63">
        <f>+D67+D70</f>
        <v>26393800</v>
      </c>
      <c r="E65" s="45" t="s">
        <v>628</v>
      </c>
      <c r="F65" s="44"/>
    </row>
    <row r="67" spans="1:6" s="45" customFormat="1" x14ac:dyDescent="0.55000000000000004">
      <c r="A67" s="450" t="s">
        <v>14</v>
      </c>
      <c r="D67" s="43">
        <v>12600000</v>
      </c>
      <c r="E67" s="45" t="s">
        <v>622</v>
      </c>
    </row>
    <row r="68" spans="1:6" x14ac:dyDescent="0.55000000000000004">
      <c r="A68" s="51" t="s">
        <v>641</v>
      </c>
    </row>
    <row r="70" spans="1:6" x14ac:dyDescent="0.55000000000000004">
      <c r="A70" s="450" t="s">
        <v>23</v>
      </c>
      <c r="D70" s="43">
        <f>7043800+6750000</f>
        <v>13793800</v>
      </c>
      <c r="E70" s="45" t="s">
        <v>622</v>
      </c>
    </row>
    <row r="71" spans="1:6" x14ac:dyDescent="0.55000000000000004">
      <c r="A71" s="51" t="s">
        <v>642</v>
      </c>
    </row>
    <row r="72" spans="1:6" x14ac:dyDescent="0.55000000000000004">
      <c r="A72" s="51" t="s">
        <v>643</v>
      </c>
    </row>
    <row r="73" spans="1:6" x14ac:dyDescent="0.55000000000000004">
      <c r="A73" s="51" t="s">
        <v>644</v>
      </c>
    </row>
    <row r="74" spans="1:6" x14ac:dyDescent="0.55000000000000004">
      <c r="A74" s="51" t="s">
        <v>645</v>
      </c>
    </row>
    <row r="76" spans="1:6" x14ac:dyDescent="0.55000000000000004">
      <c r="A76" s="45" t="s">
        <v>620</v>
      </c>
    </row>
    <row r="77" spans="1:6" s="45" customFormat="1" x14ac:dyDescent="0.55000000000000004">
      <c r="A77" s="45" t="s">
        <v>646</v>
      </c>
      <c r="D77" s="43">
        <v>113365200</v>
      </c>
      <c r="E77" s="45" t="s">
        <v>622</v>
      </c>
    </row>
    <row r="78" spans="1:6" s="45" customFormat="1" x14ac:dyDescent="0.55000000000000004">
      <c r="A78" s="45" t="s">
        <v>647</v>
      </c>
      <c r="D78" s="43"/>
    </row>
    <row r="79" spans="1:6" s="45" customFormat="1" x14ac:dyDescent="0.55000000000000004">
      <c r="A79" s="45" t="s">
        <v>648</v>
      </c>
      <c r="C79" s="43">
        <v>17400000</v>
      </c>
      <c r="D79" s="45" t="s">
        <v>622</v>
      </c>
    </row>
    <row r="80" spans="1:6" x14ac:dyDescent="0.55000000000000004">
      <c r="A80" s="51" t="s">
        <v>649</v>
      </c>
    </row>
    <row r="82" spans="1:4" x14ac:dyDescent="0.55000000000000004">
      <c r="A82" s="45" t="s">
        <v>650</v>
      </c>
      <c r="C82" s="43">
        <v>48900000</v>
      </c>
      <c r="D82" s="45" t="s">
        <v>622</v>
      </c>
    </row>
    <row r="83" spans="1:4" x14ac:dyDescent="0.55000000000000004">
      <c r="A83" s="51" t="s">
        <v>651</v>
      </c>
    </row>
    <row r="84" spans="1:4" x14ac:dyDescent="0.55000000000000004">
      <c r="A84" s="51" t="s">
        <v>652</v>
      </c>
    </row>
    <row r="85" spans="1:4" x14ac:dyDescent="0.55000000000000004">
      <c r="A85" s="51" t="s">
        <v>653</v>
      </c>
    </row>
    <row r="86" spans="1:4" x14ac:dyDescent="0.55000000000000004">
      <c r="A86" s="51" t="s">
        <v>654</v>
      </c>
    </row>
    <row r="87" spans="1:4" x14ac:dyDescent="0.55000000000000004">
      <c r="A87" s="51" t="s">
        <v>655</v>
      </c>
    </row>
    <row r="89" spans="1:4" x14ac:dyDescent="0.55000000000000004">
      <c r="A89" s="45" t="s">
        <v>656</v>
      </c>
      <c r="C89" s="43">
        <v>12305200</v>
      </c>
      <c r="D89" s="45" t="s">
        <v>622</v>
      </c>
    </row>
    <row r="90" spans="1:4" x14ac:dyDescent="0.55000000000000004">
      <c r="A90" s="51" t="s">
        <v>657</v>
      </c>
    </row>
    <row r="92" spans="1:4" x14ac:dyDescent="0.55000000000000004">
      <c r="A92" s="45" t="s">
        <v>658</v>
      </c>
      <c r="C92" s="43">
        <v>34760000</v>
      </c>
      <c r="D92" s="45" t="s">
        <v>622</v>
      </c>
    </row>
    <row r="93" spans="1:4" x14ac:dyDescent="0.55000000000000004">
      <c r="A93" s="51" t="s">
        <v>659</v>
      </c>
    </row>
  </sheetData>
  <mergeCells count="2">
    <mergeCell ref="A3:B3"/>
    <mergeCell ref="A4:B4"/>
  </mergeCells>
  <pageMargins left="0.70866141732283472" right="0.70866141732283472" top="0.74803149606299213" bottom="0.39370078740157483" header="0.31496062992125984" footer="0.31496062992125984"/>
  <pageSetup paperSize="9" orientation="portrait" r:id="rId1"/>
  <headerFooter>
    <oddHeader>&amp;Rหน้า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6" sqref="A6"/>
    </sheetView>
  </sheetViews>
  <sheetFormatPr defaultRowHeight="24" x14ac:dyDescent="0.55000000000000004"/>
  <cols>
    <col min="1" max="1" width="8.7109375" style="45" customWidth="1"/>
    <col min="2" max="2" width="17.28515625" style="45" customWidth="1"/>
    <col min="3" max="3" width="33.85546875" style="628" customWidth="1"/>
    <col min="4" max="4" width="9.140625" style="45"/>
    <col min="5" max="5" width="22.7109375" style="45" customWidth="1"/>
    <col min="6" max="6" width="10.85546875" style="45" customWidth="1"/>
    <col min="7" max="7" width="17.28515625" style="45" customWidth="1"/>
    <col min="8" max="8" width="33.85546875" style="45" customWidth="1"/>
    <col min="9" max="16384" width="9.140625" style="45"/>
  </cols>
  <sheetData>
    <row r="1" spans="1:9" ht="81.75" customHeight="1" x14ac:dyDescent="0.55000000000000004">
      <c r="A1" s="662" t="s">
        <v>684</v>
      </c>
      <c r="B1" s="662"/>
      <c r="C1" s="662"/>
      <c r="D1" s="662"/>
      <c r="E1" s="662"/>
      <c r="F1" s="662"/>
      <c r="G1" s="662"/>
      <c r="H1" s="662"/>
    </row>
    <row r="2" spans="1:9" ht="35.25" customHeight="1" x14ac:dyDescent="0.75">
      <c r="A2" s="632"/>
      <c r="B2" s="633" t="s">
        <v>559</v>
      </c>
      <c r="C2" s="634">
        <v>18</v>
      </c>
      <c r="D2" s="641" t="s">
        <v>1</v>
      </c>
      <c r="E2" s="634">
        <f>+C5+C6+C7+C8+C9+C10+C11+C12+C13+H5+H6+H7+H8+H10+H9+H11+H12+H13</f>
        <v>105</v>
      </c>
      <c r="F2" s="634" t="s">
        <v>4</v>
      </c>
      <c r="G2" s="634"/>
    </row>
    <row r="3" spans="1:9" ht="18.75" customHeight="1" x14ac:dyDescent="0.55000000000000004"/>
    <row r="4" spans="1:9" ht="30.75" x14ac:dyDescent="0.7">
      <c r="A4" s="635" t="s">
        <v>0</v>
      </c>
      <c r="B4" s="635" t="s">
        <v>1</v>
      </c>
      <c r="C4" s="636" t="s">
        <v>4</v>
      </c>
      <c r="D4" s="636"/>
      <c r="E4" s="636"/>
      <c r="F4" s="635" t="s">
        <v>0</v>
      </c>
      <c r="G4" s="635" t="s">
        <v>1</v>
      </c>
      <c r="H4" s="636" t="s">
        <v>4</v>
      </c>
      <c r="I4" s="637"/>
    </row>
    <row r="5" spans="1:9" ht="30.75" x14ac:dyDescent="0.7">
      <c r="A5" s="635">
        <v>1</v>
      </c>
      <c r="B5" s="635" t="s">
        <v>6</v>
      </c>
      <c r="C5" s="636">
        <v>10</v>
      </c>
      <c r="D5" s="637"/>
      <c r="E5" s="637"/>
      <c r="F5" s="635">
        <v>10</v>
      </c>
      <c r="G5" s="635" t="s">
        <v>20</v>
      </c>
      <c r="H5" s="636">
        <v>7</v>
      </c>
      <c r="I5" s="637"/>
    </row>
    <row r="6" spans="1:9" ht="30.75" x14ac:dyDescent="0.7">
      <c r="A6" s="635">
        <v>2</v>
      </c>
      <c r="B6" s="635" t="s">
        <v>8</v>
      </c>
      <c r="C6" s="636">
        <v>5</v>
      </c>
      <c r="D6" s="637"/>
      <c r="E6" s="637"/>
      <c r="F6" s="635">
        <v>11</v>
      </c>
      <c r="G6" s="635" t="s">
        <v>23</v>
      </c>
      <c r="H6" s="636">
        <v>9</v>
      </c>
      <c r="I6" s="637"/>
    </row>
    <row r="7" spans="1:9" ht="23.25" customHeight="1" x14ac:dyDescent="0.7">
      <c r="A7" s="635">
        <v>3</v>
      </c>
      <c r="B7" s="635" t="s">
        <v>10</v>
      </c>
      <c r="C7" s="636">
        <v>6</v>
      </c>
      <c r="D7" s="637"/>
      <c r="E7" s="637"/>
      <c r="F7" s="635">
        <v>12</v>
      </c>
      <c r="G7" s="635" t="s">
        <v>24</v>
      </c>
      <c r="H7" s="636">
        <v>2</v>
      </c>
      <c r="I7" s="637"/>
    </row>
    <row r="8" spans="1:9" ht="30.75" x14ac:dyDescent="0.7">
      <c r="A8" s="635">
        <v>4</v>
      </c>
      <c r="B8" s="635" t="s">
        <v>12</v>
      </c>
      <c r="C8" s="636">
        <v>1</v>
      </c>
      <c r="D8" s="637"/>
      <c r="E8" s="637"/>
      <c r="F8" s="635">
        <v>13</v>
      </c>
      <c r="G8" s="635" t="s">
        <v>25</v>
      </c>
      <c r="H8" s="636">
        <v>12</v>
      </c>
      <c r="I8" s="637"/>
    </row>
    <row r="9" spans="1:9" ht="30.75" x14ac:dyDescent="0.7">
      <c r="A9" s="635">
        <v>5</v>
      </c>
      <c r="B9" s="635" t="s">
        <v>14</v>
      </c>
      <c r="C9" s="636">
        <v>12</v>
      </c>
      <c r="D9" s="637"/>
      <c r="E9" s="637"/>
      <c r="F9" s="635">
        <v>14</v>
      </c>
      <c r="G9" s="635" t="s">
        <v>26</v>
      </c>
      <c r="H9" s="636">
        <v>3</v>
      </c>
      <c r="I9" s="637"/>
    </row>
    <row r="10" spans="1:9" ht="30.75" x14ac:dyDescent="0.7">
      <c r="A10" s="635">
        <v>6</v>
      </c>
      <c r="B10" s="635" t="s">
        <v>16</v>
      </c>
      <c r="C10" s="636">
        <v>9</v>
      </c>
      <c r="D10" s="637"/>
      <c r="E10" s="637"/>
      <c r="F10" s="635">
        <v>15</v>
      </c>
      <c r="G10" s="635" t="s">
        <v>30</v>
      </c>
      <c r="H10" s="636">
        <v>1</v>
      </c>
      <c r="I10" s="637"/>
    </row>
    <row r="11" spans="1:9" ht="30.75" x14ac:dyDescent="0.7">
      <c r="A11" s="635">
        <v>7</v>
      </c>
      <c r="B11" s="635" t="s">
        <v>17</v>
      </c>
      <c r="C11" s="636">
        <v>3</v>
      </c>
      <c r="D11" s="637"/>
      <c r="E11" s="637"/>
      <c r="F11" s="635">
        <v>16</v>
      </c>
      <c r="G11" s="635" t="s">
        <v>32</v>
      </c>
      <c r="H11" s="636">
        <v>9</v>
      </c>
      <c r="I11" s="637"/>
    </row>
    <row r="12" spans="1:9" ht="30.75" x14ac:dyDescent="0.7">
      <c r="A12" s="635">
        <v>8</v>
      </c>
      <c r="B12" s="635" t="s">
        <v>18</v>
      </c>
      <c r="C12" s="636">
        <v>1</v>
      </c>
      <c r="D12" s="637"/>
      <c r="E12" s="637"/>
      <c r="F12" s="635">
        <v>17</v>
      </c>
      <c r="G12" s="635" t="s">
        <v>37</v>
      </c>
      <c r="H12" s="636">
        <v>9</v>
      </c>
      <c r="I12" s="637"/>
    </row>
    <row r="13" spans="1:9" ht="30.75" x14ac:dyDescent="0.7">
      <c r="A13" s="635">
        <v>9</v>
      </c>
      <c r="B13" s="635" t="s">
        <v>19</v>
      </c>
      <c r="C13" s="636">
        <v>1</v>
      </c>
      <c r="D13" s="637"/>
      <c r="E13" s="637"/>
      <c r="F13" s="635">
        <v>18</v>
      </c>
      <c r="G13" s="635" t="s">
        <v>454</v>
      </c>
      <c r="H13" s="636">
        <v>5</v>
      </c>
      <c r="I13" s="637"/>
    </row>
    <row r="14" spans="1:9" ht="30.75" x14ac:dyDescent="0.7">
      <c r="A14" s="635"/>
      <c r="B14" s="635"/>
      <c r="C14" s="636"/>
      <c r="D14" s="637"/>
      <c r="E14" s="637"/>
      <c r="F14" s="635"/>
      <c r="G14" s="635"/>
      <c r="H14" s="636"/>
      <c r="I14" s="637"/>
    </row>
    <row r="15" spans="1:9" x14ac:dyDescent="0.55000000000000004">
      <c r="A15" s="638"/>
      <c r="B15" s="638"/>
      <c r="C15" s="381"/>
    </row>
    <row r="16" spans="1:9" x14ac:dyDescent="0.55000000000000004">
      <c r="A16" s="638"/>
      <c r="B16" s="638"/>
      <c r="C16" s="381"/>
    </row>
    <row r="17" spans="1:3" x14ac:dyDescent="0.55000000000000004">
      <c r="A17" s="638"/>
      <c r="B17" s="638"/>
      <c r="C17" s="381"/>
    </row>
    <row r="18" spans="1:3" x14ac:dyDescent="0.55000000000000004">
      <c r="A18" s="638"/>
      <c r="B18" s="638"/>
      <c r="C18" s="381"/>
    </row>
    <row r="19" spans="1:3" x14ac:dyDescent="0.55000000000000004">
      <c r="A19" s="638"/>
      <c r="B19" s="638"/>
      <c r="C19" s="381"/>
    </row>
    <row r="20" spans="1:3" x14ac:dyDescent="0.55000000000000004">
      <c r="A20" s="638"/>
      <c r="B20" s="638"/>
      <c r="C20" s="381"/>
    </row>
    <row r="21" spans="1:3" x14ac:dyDescent="0.55000000000000004">
      <c r="A21" s="638"/>
      <c r="B21" s="638"/>
      <c r="C21" s="381"/>
    </row>
    <row r="22" spans="1:3" x14ac:dyDescent="0.55000000000000004">
      <c r="A22" s="638"/>
      <c r="B22" s="638"/>
      <c r="C22" s="381"/>
    </row>
    <row r="23" spans="1:3" ht="27.75" x14ac:dyDescent="0.65">
      <c r="B23" s="639"/>
      <c r="C23" s="64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9"/>
  <sheetViews>
    <sheetView topLeftCell="A25" zoomScaleNormal="100" zoomScaleSheetLayoutView="100" workbookViewId="0">
      <selection activeCell="A32" sqref="A32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85546875" style="487" customWidth="1"/>
    <col min="7" max="7" width="15.42578125" style="488" customWidth="1"/>
    <col min="8" max="8" width="15.42578125" style="488" hidden="1" customWidth="1"/>
    <col min="9" max="9" width="34.140625" style="488" customWidth="1"/>
    <col min="10" max="10" width="13.140625" style="488" hidden="1" customWidth="1"/>
    <col min="11" max="11" width="12.140625" style="464" hidden="1" customWidth="1"/>
    <col min="12" max="12" width="14" style="464" hidden="1" customWidth="1"/>
    <col min="13" max="13" width="36" style="438" customWidth="1"/>
    <col min="14" max="14" width="5" style="465" customWidth="1"/>
    <col min="15" max="15" width="19.5703125" style="399" bestFit="1" customWidth="1"/>
    <col min="16" max="16" width="12.42578125" style="399" bestFit="1" customWidth="1"/>
    <col min="17" max="17" width="14.42578125" style="399" customWidth="1"/>
    <col min="18" max="18" width="4" style="399" customWidth="1"/>
    <col min="19" max="19" width="13.5703125" style="399" bestFit="1" customWidth="1"/>
    <col min="20" max="28" width="9.140625" style="12"/>
    <col min="29" max="16384" width="9.140625" style="460"/>
  </cols>
  <sheetData>
    <row r="1" spans="1:39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11</v>
      </c>
      <c r="Q2" s="397" t="e">
        <f>+F13+F14+F15+F16+F17+F18+F19+F20+F21+F22+#REF!</f>
        <v>#REF!</v>
      </c>
      <c r="R2" s="397" t="s">
        <v>70</v>
      </c>
      <c r="S2" s="399" t="s">
        <v>70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>
        <v>2</v>
      </c>
      <c r="Q3" s="462">
        <f>+F11+F12</f>
        <v>9998000</v>
      </c>
      <c r="R3" s="463">
        <v>1</v>
      </c>
      <c r="S3" s="462" t="e">
        <f>+#REF!</f>
        <v>#REF!</v>
      </c>
      <c r="T3" s="460"/>
      <c r="U3" s="460"/>
      <c r="V3" s="460"/>
      <c r="W3" s="460"/>
      <c r="X3" s="460"/>
      <c r="Y3" s="460"/>
      <c r="Z3" s="460"/>
      <c r="AA3" s="460"/>
      <c r="AB3" s="460"/>
    </row>
    <row r="4" spans="1:39" x14ac:dyDescent="0.5">
      <c r="A4" s="460"/>
      <c r="B4" s="460"/>
      <c r="C4" s="460"/>
      <c r="D4" s="460"/>
      <c r="F4" s="663"/>
      <c r="G4" s="663"/>
      <c r="H4" s="252"/>
      <c r="I4" s="252"/>
      <c r="J4" s="252"/>
      <c r="M4" s="429"/>
      <c r="O4" s="399" t="s">
        <v>73</v>
      </c>
      <c r="P4" s="466" t="s">
        <v>70</v>
      </c>
      <c r="Q4" s="466" t="s">
        <v>70</v>
      </c>
      <c r="R4" s="466" t="s">
        <v>70</v>
      </c>
      <c r="S4" s="399" t="s">
        <v>70</v>
      </c>
    </row>
    <row r="5" spans="1:39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  <c r="R5" s="467"/>
    </row>
    <row r="6" spans="1:39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  <c r="R6" s="467"/>
    </row>
    <row r="7" spans="1:39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  <c r="R7" s="467"/>
    </row>
    <row r="8" spans="1:39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  <c r="R8" s="467"/>
    </row>
    <row r="9" spans="1:39" x14ac:dyDescent="0.5">
      <c r="A9" s="10"/>
      <c r="B9" s="10"/>
      <c r="C9" s="10"/>
      <c r="D9" s="10"/>
      <c r="E9" s="29" t="s">
        <v>6</v>
      </c>
      <c r="F9" s="247"/>
      <c r="G9" s="100"/>
      <c r="H9" s="100"/>
      <c r="I9" s="100"/>
      <c r="J9" s="100"/>
      <c r="K9" s="468"/>
      <c r="L9" s="468"/>
      <c r="M9" s="430"/>
    </row>
    <row r="10" spans="1:39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431"/>
      <c r="N10" s="407"/>
      <c r="O10" s="402"/>
      <c r="P10" s="400"/>
      <c r="Q10" s="417"/>
      <c r="R10" s="417"/>
      <c r="S10" s="417"/>
    </row>
    <row r="11" spans="1:39" s="284" customFormat="1" ht="93" customHeight="1" x14ac:dyDescent="0.2">
      <c r="A11" s="425">
        <v>1</v>
      </c>
      <c r="B11" s="425"/>
      <c r="C11" s="469" t="s">
        <v>76</v>
      </c>
      <c r="D11" s="425" t="s">
        <v>6</v>
      </c>
      <c r="E11" s="470" t="s">
        <v>77</v>
      </c>
      <c r="F11" s="471">
        <v>2128000</v>
      </c>
      <c r="G11" s="426"/>
      <c r="H11" s="426"/>
      <c r="I11" s="432" t="str">
        <f>+[1]บช.น.!I11</f>
        <v>ดำเนินการจัดหาโดยวิธีการ e-bidding และได้มีผู้เสนอราคาต่ำสุดคือบริษัทไพศาลเอ็มไพร์ จำกัด เป็นเงิน 1,699,611 บาท ขณะนี้อยู่ระหว่างลงนามในสัญญา</v>
      </c>
      <c r="J11" s="281"/>
      <c r="K11" s="283"/>
      <c r="L11" s="283"/>
      <c r="M11" s="432" t="str">
        <f>+[1]บช.น.!M11</f>
        <v>อยู่ระหว่างการติดตั้งและส่งมอบ</v>
      </c>
      <c r="N11" s="410">
        <v>2</v>
      </c>
      <c r="O11" s="401"/>
      <c r="P11" s="401"/>
      <c r="Q11" s="401"/>
      <c r="R11" s="401"/>
      <c r="S11" s="401"/>
    </row>
    <row r="12" spans="1:39" s="284" customFormat="1" ht="115.5" customHeight="1" x14ac:dyDescent="0.2">
      <c r="A12" s="425">
        <v>2</v>
      </c>
      <c r="B12" s="425"/>
      <c r="C12" s="469" t="s">
        <v>76</v>
      </c>
      <c r="D12" s="425" t="s">
        <v>6</v>
      </c>
      <c r="E12" s="470" t="s">
        <v>78</v>
      </c>
      <c r="F12" s="471">
        <v>7870000</v>
      </c>
      <c r="G12" s="426"/>
      <c r="H12" s="426"/>
      <c r="I12" s="432" t="str">
        <f>+[1]บช.น.!I12</f>
        <v>ลงประาศครั้งที่ 1 มีผู้ทักท้วงว่าการประกาศไม่ได้เปิดช่องให้มีการวิจารณ์ จึงยกเลิกประกาศครั้งที่ 1</v>
      </c>
      <c r="J12" s="281"/>
      <c r="K12" s="283"/>
      <c r="L12" s="283"/>
      <c r="M12" s="432" t="str">
        <f>+[1]บช.น.!M12</f>
        <v>อยู่ระหว่างเลิกประกาศประกวดราคาเนื่องจากต้องนำร่างประกาศและร่างเอกสารประกวดราคาอิเลคทรอนิส์เผยแพร่สาธารณชนเสนอแนะ วิจารณ์หรือมีความเห็นเป็นลายลักษณ์อักษรก่อน</v>
      </c>
      <c r="N12" s="410">
        <v>2</v>
      </c>
      <c r="O12" s="401"/>
      <c r="P12" s="401"/>
      <c r="Q12" s="401"/>
      <c r="R12" s="401"/>
      <c r="S12" s="401"/>
    </row>
    <row r="13" spans="1:39" s="284" customFormat="1" ht="75" customHeight="1" x14ac:dyDescent="0.2">
      <c r="A13" s="261">
        <v>3</v>
      </c>
      <c r="B13" s="261"/>
      <c r="C13" s="472" t="s">
        <v>76</v>
      </c>
      <c r="D13" s="261" t="s">
        <v>6</v>
      </c>
      <c r="E13" s="473" t="s">
        <v>79</v>
      </c>
      <c r="F13" s="474">
        <v>369000</v>
      </c>
      <c r="G13" s="281"/>
      <c r="H13" s="281"/>
      <c r="I13" s="433" t="str">
        <f>+[1]บช.น.!I13</f>
        <v>ใช้วิธีตกลงราคา อยู่ระหว่างเสนอราคาของผู้ขาย</v>
      </c>
      <c r="J13" s="281"/>
      <c r="K13" s="283"/>
      <c r="L13" s="283"/>
      <c r="M13" s="433" t="str">
        <f>+[1]บช.น.!M13</f>
        <v>อนุมัติซื้อแล้วอยู่ระหว่างลงนามในสัญญา</v>
      </c>
      <c r="N13" s="410">
        <v>1</v>
      </c>
      <c r="O13" s="401"/>
      <c r="P13" s="400"/>
      <c r="Q13" s="401"/>
      <c r="R13" s="401"/>
      <c r="S13" s="401"/>
    </row>
    <row r="14" spans="1:39" s="284" customFormat="1" ht="156" customHeight="1" x14ac:dyDescent="0.2">
      <c r="A14" s="261">
        <v>4</v>
      </c>
      <c r="B14" s="261"/>
      <c r="C14" s="475" t="s">
        <v>80</v>
      </c>
      <c r="D14" s="261" t="s">
        <v>6</v>
      </c>
      <c r="E14" s="473" t="s">
        <v>81</v>
      </c>
      <c r="F14" s="474">
        <v>1500000</v>
      </c>
      <c r="G14" s="281"/>
      <c r="H14" s="281"/>
      <c r="I14" s="433" t="str">
        <f>+[1]บช.น.!I14</f>
        <v xml:space="preserve"> รายการที่ 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โดยเสนอราคาต่ำสุดเป็นเงินทั้งสิ้น 3,660,000 บาทขณะนี้อยู่ระหว่างการเสนอผู้บังคับบัญชาพิจารณาจัดซื้อและลงนามในสัญญา </v>
      </c>
      <c r="J14" s="281"/>
      <c r="K14" s="283"/>
      <c r="L14" s="283"/>
      <c r="M14" s="433" t="str">
        <f>+[1]บช.น.!M14</f>
        <v xml:space="preserve"> รายการที่4-12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เป็นเงิน 3,660,000 บาท ขณะนี้อยู่ระหว่างการส่งมอบ</v>
      </c>
      <c r="N14" s="410">
        <v>1</v>
      </c>
      <c r="O14" s="401"/>
      <c r="P14" s="400"/>
      <c r="Q14" s="401"/>
      <c r="R14" s="401"/>
      <c r="S14" s="401"/>
    </row>
    <row r="15" spans="1:39" s="284" customFormat="1" ht="162" customHeight="1" x14ac:dyDescent="0.2">
      <c r="A15" s="261">
        <v>5</v>
      </c>
      <c r="B15" s="261"/>
      <c r="C15" s="475" t="s">
        <v>80</v>
      </c>
      <c r="D15" s="261" t="s">
        <v>6</v>
      </c>
      <c r="E15" s="473" t="s">
        <v>82</v>
      </c>
      <c r="F15" s="474">
        <v>437000</v>
      </c>
      <c r="G15" s="281"/>
      <c r="H15" s="281"/>
      <c r="I15" s="433" t="str">
        <f>+[1]บช.น.!I15</f>
        <v xml:space="preserve"> รายการที่ 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โดยเสนอราคาต่ำสุดเป็นเงินทั้งสิ้น 3,660,000 บาทขณะนี้อยู่ระหว่างการเสนอผู้บังคับบัญชาพิจารณาจัดซื้อและลงนามในสัญญา </v>
      </c>
      <c r="J15" s="508"/>
      <c r="K15" s="508"/>
      <c r="L15" s="508"/>
      <c r="M15" s="433" t="str">
        <f>+[1]บช.น.!M15</f>
        <v xml:space="preserve"> รายการที่4-12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เป็นเงิน 3,660,000 บาท ขณะนี้อยู่ระหว่างการส่งมอบ</v>
      </c>
      <c r="N15" s="410">
        <v>1</v>
      </c>
      <c r="O15" s="401"/>
      <c r="P15" s="400"/>
      <c r="Q15" s="401"/>
      <c r="R15" s="401"/>
      <c r="S15" s="401"/>
    </row>
    <row r="16" spans="1:39" s="284" customFormat="1" ht="42.75" customHeight="1" x14ac:dyDescent="0.2">
      <c r="A16" s="261">
        <v>6</v>
      </c>
      <c r="B16" s="261"/>
      <c r="C16" s="475" t="s">
        <v>80</v>
      </c>
      <c r="D16" s="261" t="s">
        <v>6</v>
      </c>
      <c r="E16" s="473" t="s">
        <v>83</v>
      </c>
      <c r="F16" s="474">
        <v>768000</v>
      </c>
      <c r="G16" s="281"/>
      <c r="H16" s="281"/>
      <c r="I16" s="489" t="str">
        <f>+[1]บช.น.!I16</f>
        <v>"</v>
      </c>
      <c r="J16" s="281"/>
      <c r="K16" s="281"/>
      <c r="L16" s="281"/>
      <c r="M16" s="489" t="str">
        <f>+[1]บช.น.!M16</f>
        <v>"</v>
      </c>
      <c r="N16" s="410">
        <v>1</v>
      </c>
      <c r="O16" s="401"/>
      <c r="P16" s="400"/>
      <c r="Q16" s="401"/>
      <c r="R16" s="401"/>
      <c r="S16" s="401"/>
    </row>
    <row r="17" spans="1:28" s="284" customFormat="1" ht="42.75" customHeight="1" x14ac:dyDescent="0.2">
      <c r="A17" s="261">
        <v>7</v>
      </c>
      <c r="B17" s="261"/>
      <c r="C17" s="475" t="s">
        <v>80</v>
      </c>
      <c r="D17" s="261" t="s">
        <v>6</v>
      </c>
      <c r="E17" s="473" t="s">
        <v>84</v>
      </c>
      <c r="F17" s="474">
        <v>204000</v>
      </c>
      <c r="G17" s="281"/>
      <c r="H17" s="281"/>
      <c r="I17" s="489" t="str">
        <f>+[1]บช.น.!I17</f>
        <v>"</v>
      </c>
      <c r="J17" s="281"/>
      <c r="K17" s="281"/>
      <c r="L17" s="281"/>
      <c r="M17" s="489" t="str">
        <f>+[1]บช.น.!M17</f>
        <v>"</v>
      </c>
      <c r="N17" s="410">
        <v>1</v>
      </c>
      <c r="O17" s="401"/>
      <c r="P17" s="400"/>
      <c r="Q17" s="401"/>
      <c r="R17" s="401"/>
      <c r="S17" s="401"/>
    </row>
    <row r="18" spans="1:28" s="284" customFormat="1" ht="42.75" customHeight="1" x14ac:dyDescent="0.2">
      <c r="A18" s="261">
        <v>8</v>
      </c>
      <c r="B18" s="261"/>
      <c r="C18" s="475" t="s">
        <v>80</v>
      </c>
      <c r="D18" s="261" t="s">
        <v>6</v>
      </c>
      <c r="E18" s="473" t="s">
        <v>85</v>
      </c>
      <c r="F18" s="474">
        <v>292000</v>
      </c>
      <c r="G18" s="281"/>
      <c r="H18" s="281"/>
      <c r="I18" s="489" t="str">
        <f>+[1]บช.น.!I18</f>
        <v>"</v>
      </c>
      <c r="J18" s="281"/>
      <c r="K18" s="281"/>
      <c r="L18" s="281"/>
      <c r="M18" s="489" t="str">
        <f>+[1]บช.น.!M18</f>
        <v>"</v>
      </c>
      <c r="N18" s="410">
        <v>1</v>
      </c>
      <c r="O18" s="401"/>
      <c r="P18" s="400"/>
      <c r="Q18" s="401"/>
      <c r="R18" s="401"/>
      <c r="S18" s="401"/>
    </row>
    <row r="19" spans="1:28" s="284" customFormat="1" ht="42.75" customHeight="1" x14ac:dyDescent="0.2">
      <c r="A19" s="261">
        <v>9</v>
      </c>
      <c r="B19" s="261"/>
      <c r="C19" s="475" t="s">
        <v>80</v>
      </c>
      <c r="D19" s="261" t="s">
        <v>6</v>
      </c>
      <c r="E19" s="473" t="s">
        <v>86</v>
      </c>
      <c r="F19" s="474">
        <v>144000</v>
      </c>
      <c r="G19" s="281"/>
      <c r="H19" s="281"/>
      <c r="I19" s="489" t="str">
        <f>+[1]บช.น.!I19</f>
        <v>"</v>
      </c>
      <c r="J19" s="281"/>
      <c r="K19" s="281"/>
      <c r="L19" s="281"/>
      <c r="M19" s="489" t="str">
        <f>+[1]บช.น.!M19</f>
        <v>"</v>
      </c>
      <c r="N19" s="410">
        <v>1</v>
      </c>
      <c r="O19" s="401"/>
      <c r="P19" s="400"/>
      <c r="Q19" s="401"/>
      <c r="R19" s="401"/>
      <c r="S19" s="401"/>
    </row>
    <row r="20" spans="1:28" s="284" customFormat="1" ht="42.75" customHeight="1" x14ac:dyDescent="0.2">
      <c r="A20" s="261">
        <v>10</v>
      </c>
      <c r="B20" s="261"/>
      <c r="C20" s="475" t="s">
        <v>80</v>
      </c>
      <c r="D20" s="261" t="s">
        <v>6</v>
      </c>
      <c r="E20" s="473" t="s">
        <v>87</v>
      </c>
      <c r="F20" s="474">
        <v>280000</v>
      </c>
      <c r="G20" s="281"/>
      <c r="H20" s="281"/>
      <c r="I20" s="489" t="str">
        <f>+[1]บช.น.!I20</f>
        <v>"</v>
      </c>
      <c r="J20" s="281"/>
      <c r="K20" s="281"/>
      <c r="L20" s="281"/>
      <c r="M20" s="489" t="str">
        <f>+[1]บช.น.!M20</f>
        <v>"</v>
      </c>
      <c r="N20" s="410">
        <v>1</v>
      </c>
      <c r="O20" s="401"/>
      <c r="P20" s="400"/>
      <c r="Q20" s="401"/>
      <c r="R20" s="401"/>
      <c r="S20" s="401"/>
    </row>
    <row r="21" spans="1:28" s="284" customFormat="1" ht="45" x14ac:dyDescent="0.2">
      <c r="A21" s="261">
        <v>11</v>
      </c>
      <c r="B21" s="261"/>
      <c r="C21" s="475" t="s">
        <v>80</v>
      </c>
      <c r="D21" s="261" t="s">
        <v>6</v>
      </c>
      <c r="E21" s="473" t="s">
        <v>88</v>
      </c>
      <c r="F21" s="474">
        <v>23000</v>
      </c>
      <c r="G21" s="281"/>
      <c r="H21" s="281"/>
      <c r="I21" s="489" t="str">
        <f>+[1]บช.น.!I21</f>
        <v>"</v>
      </c>
      <c r="J21" s="281"/>
      <c r="K21" s="281"/>
      <c r="L21" s="281"/>
      <c r="M21" s="489" t="str">
        <f>+[1]บช.น.!M21</f>
        <v>"</v>
      </c>
      <c r="N21" s="410">
        <v>1</v>
      </c>
      <c r="O21" s="401"/>
      <c r="P21" s="400"/>
      <c r="Q21" s="401"/>
      <c r="R21" s="401"/>
      <c r="S21" s="401"/>
    </row>
    <row r="22" spans="1:28" s="284" customFormat="1" ht="45" x14ac:dyDescent="0.2">
      <c r="A22" s="261">
        <v>12</v>
      </c>
      <c r="B22" s="261"/>
      <c r="C22" s="475" t="s">
        <v>80</v>
      </c>
      <c r="D22" s="261" t="s">
        <v>6</v>
      </c>
      <c r="E22" s="473" t="s">
        <v>89</v>
      </c>
      <c r="F22" s="474">
        <v>22000</v>
      </c>
      <c r="G22" s="281"/>
      <c r="H22" s="281"/>
      <c r="I22" s="489" t="str">
        <f>+[1]บช.น.!I22</f>
        <v>"</v>
      </c>
      <c r="J22" s="281"/>
      <c r="K22" s="281"/>
      <c r="L22" s="281"/>
      <c r="M22" s="489" t="str">
        <f>+[1]บช.น.!M22</f>
        <v>"</v>
      </c>
      <c r="N22" s="410">
        <v>1</v>
      </c>
      <c r="O22" s="401"/>
      <c r="P22" s="400"/>
      <c r="Q22" s="401"/>
      <c r="R22" s="401"/>
      <c r="S22" s="401"/>
    </row>
    <row r="23" spans="1:28" s="284" customFormat="1" ht="108" customHeight="1" x14ac:dyDescent="0.2">
      <c r="A23" s="261">
        <v>13</v>
      </c>
      <c r="B23" s="261" t="s">
        <v>6</v>
      </c>
      <c r="C23" s="475" t="s">
        <v>238</v>
      </c>
      <c r="D23" s="261" t="s">
        <v>6</v>
      </c>
      <c r="E23" s="473" t="s">
        <v>661</v>
      </c>
      <c r="F23" s="474">
        <v>5500</v>
      </c>
      <c r="G23" s="281"/>
      <c r="H23" s="281"/>
      <c r="I23" s="433">
        <f>+[1]บช.น.!I23</f>
        <v>0</v>
      </c>
      <c r="J23" s="281"/>
      <c r="K23" s="283"/>
      <c r="L23" s="283"/>
      <c r="M23" s="433">
        <f>+[1]บช.น.!M23</f>
        <v>0</v>
      </c>
      <c r="N23" s="410"/>
      <c r="O23" s="401"/>
      <c r="P23" s="400"/>
      <c r="Q23" s="401"/>
      <c r="R23" s="401"/>
      <c r="S23" s="401"/>
    </row>
    <row r="24" spans="1:28" s="284" customFormat="1" ht="108" customHeight="1" x14ac:dyDescent="0.2">
      <c r="A24" s="261">
        <v>14</v>
      </c>
      <c r="B24" s="261" t="s">
        <v>6</v>
      </c>
      <c r="C24" s="475" t="s">
        <v>238</v>
      </c>
      <c r="D24" s="261" t="s">
        <v>6</v>
      </c>
      <c r="E24" s="473" t="s">
        <v>662</v>
      </c>
      <c r="F24" s="474">
        <v>20400</v>
      </c>
      <c r="G24" s="281"/>
      <c r="H24" s="281"/>
      <c r="I24" s="433">
        <f>+[1]บช.น.!I24</f>
        <v>0</v>
      </c>
      <c r="J24" s="281"/>
      <c r="K24" s="283"/>
      <c r="L24" s="283"/>
      <c r="M24" s="433">
        <f>+[1]บช.น.!M24</f>
        <v>0</v>
      </c>
      <c r="N24" s="410"/>
      <c r="O24" s="401"/>
      <c r="P24" s="400"/>
      <c r="Q24" s="401"/>
      <c r="R24" s="401"/>
      <c r="S24" s="401"/>
    </row>
    <row r="25" spans="1:28" s="284" customFormat="1" ht="111" customHeight="1" x14ac:dyDescent="0.2">
      <c r="A25" s="261">
        <v>15</v>
      </c>
      <c r="B25" s="261" t="s">
        <v>6</v>
      </c>
      <c r="C25" s="475" t="s">
        <v>238</v>
      </c>
      <c r="D25" s="261" t="s">
        <v>6</v>
      </c>
      <c r="E25" s="473" t="s">
        <v>663</v>
      </c>
      <c r="F25" s="474">
        <v>23000</v>
      </c>
      <c r="G25" s="281"/>
      <c r="H25" s="281"/>
      <c r="I25" s="433">
        <f>+[1]บช.น.!I25</f>
        <v>0</v>
      </c>
      <c r="J25" s="281"/>
      <c r="K25" s="283"/>
      <c r="L25" s="283"/>
      <c r="M25" s="433">
        <f>+[1]บช.น.!M25</f>
        <v>0</v>
      </c>
      <c r="N25" s="410"/>
      <c r="O25" s="401"/>
      <c r="P25" s="400"/>
      <c r="Q25" s="401"/>
      <c r="R25" s="401"/>
      <c r="S25" s="401"/>
    </row>
    <row r="26" spans="1:28" s="16" customFormat="1" x14ac:dyDescent="0.2">
      <c r="A26" s="14"/>
      <c r="B26" s="476"/>
      <c r="C26" s="476"/>
      <c r="D26" s="476"/>
      <c r="E26" s="477"/>
      <c r="F26" s="478"/>
      <c r="G26" s="31"/>
      <c r="H26" s="31"/>
      <c r="I26" s="31"/>
      <c r="J26" s="31"/>
      <c r="K26" s="15"/>
      <c r="L26" s="15"/>
      <c r="M26" s="431"/>
      <c r="N26" s="407"/>
      <c r="O26" s="400"/>
      <c r="P26" s="400"/>
      <c r="Q26" s="400"/>
      <c r="R26" s="400"/>
      <c r="S26" s="400"/>
    </row>
    <row r="27" spans="1:28" s="12" customFormat="1" x14ac:dyDescent="0.5">
      <c r="A27" s="232">
        <f>+A25</f>
        <v>15</v>
      </c>
      <c r="B27" s="232"/>
      <c r="C27" s="232"/>
      <c r="D27" s="232"/>
      <c r="E27" s="233" t="s">
        <v>58</v>
      </c>
      <c r="F27" s="297">
        <f>SUM(F11:F26)</f>
        <v>14085900</v>
      </c>
      <c r="G27" s="249">
        <f>SUM(G11:G26)</f>
        <v>0</v>
      </c>
      <c r="H27" s="249">
        <f>SUM(H11:H26)</f>
        <v>0</v>
      </c>
      <c r="I27" s="249"/>
      <c r="J27" s="249">
        <f>SUM(J11:J26)</f>
        <v>0</v>
      </c>
      <c r="K27" s="249">
        <f>SUM(K11:K26)</f>
        <v>0</v>
      </c>
      <c r="L27" s="249">
        <f>SUM(L11:L26)</f>
        <v>0</v>
      </c>
      <c r="M27" s="434"/>
      <c r="N27" s="406"/>
      <c r="O27" s="397">
        <f>+F27+G27</f>
        <v>14085900</v>
      </c>
      <c r="P27" s="398"/>
      <c r="Q27" s="398"/>
      <c r="R27" s="399"/>
      <c r="S27" s="399"/>
    </row>
    <row r="28" spans="1:28" s="16" customFormat="1" x14ac:dyDescent="0.2">
      <c r="A28" s="14"/>
      <c r="B28" s="14"/>
      <c r="C28" s="14"/>
      <c r="D28" s="14"/>
      <c r="E28" s="27" t="s">
        <v>59</v>
      </c>
      <c r="F28" s="304"/>
      <c r="G28" s="31"/>
      <c r="H28" s="31"/>
      <c r="I28" s="31"/>
      <c r="J28" s="31"/>
      <c r="K28" s="15"/>
      <c r="L28" s="15"/>
      <c r="M28" s="431"/>
      <c r="N28" s="407"/>
      <c r="O28" s="400"/>
      <c r="P28" s="400"/>
      <c r="Q28" s="400"/>
      <c r="R28" s="400"/>
      <c r="S28" s="400"/>
    </row>
    <row r="29" spans="1:28" s="284" customFormat="1" ht="105" x14ac:dyDescent="0.2">
      <c r="A29" s="261">
        <v>1</v>
      </c>
      <c r="B29" s="261" t="s">
        <v>6</v>
      </c>
      <c r="C29" s="475" t="s">
        <v>660</v>
      </c>
      <c r="D29" s="261" t="s">
        <v>6</v>
      </c>
      <c r="E29" s="473" t="s">
        <v>664</v>
      </c>
      <c r="F29" s="474">
        <v>50000</v>
      </c>
      <c r="G29" s="281"/>
      <c r="H29" s="281"/>
      <c r="I29" s="490">
        <f>+[1]บช.น.!$I$29</f>
        <v>0</v>
      </c>
      <c r="J29" s="491"/>
      <c r="K29" s="492"/>
      <c r="L29" s="492"/>
      <c r="M29" s="490">
        <f>+[1]บช.น.!$M$29</f>
        <v>0</v>
      </c>
      <c r="N29" s="410"/>
      <c r="O29" s="401"/>
      <c r="P29" s="401"/>
      <c r="Q29" s="401"/>
      <c r="R29" s="401"/>
      <c r="S29" s="401"/>
    </row>
    <row r="30" spans="1:28" s="16" customFormat="1" x14ac:dyDescent="0.2">
      <c r="A30" s="14"/>
      <c r="B30" s="14"/>
      <c r="C30" s="14"/>
      <c r="D30" s="14"/>
      <c r="E30" s="27"/>
      <c r="F30" s="304"/>
      <c r="G30" s="31"/>
      <c r="H30" s="31"/>
      <c r="I30" s="31"/>
      <c r="J30" s="31"/>
      <c r="K30" s="15"/>
      <c r="L30" s="15"/>
      <c r="M30" s="431"/>
      <c r="N30" s="407"/>
      <c r="O30" s="400"/>
      <c r="P30" s="400"/>
      <c r="Q30" s="400"/>
      <c r="R30" s="400"/>
      <c r="S30" s="400"/>
    </row>
    <row r="31" spans="1:28" s="16" customFormat="1" ht="22.5" thickBot="1" x14ac:dyDescent="0.55000000000000004">
      <c r="A31" s="235">
        <f>+A29</f>
        <v>1</v>
      </c>
      <c r="B31" s="235"/>
      <c r="C31" s="235"/>
      <c r="D31" s="235"/>
      <c r="E31" s="236" t="s">
        <v>60</v>
      </c>
      <c r="F31" s="298">
        <f>SUM(F29:F30)</f>
        <v>50000</v>
      </c>
      <c r="G31" s="237">
        <f>SUM(G29:G30)</f>
        <v>0</v>
      </c>
      <c r="H31" s="237">
        <f>SUM(H29:H30)</f>
        <v>0</v>
      </c>
      <c r="I31" s="250"/>
      <c r="J31" s="250">
        <f>SUM(J29:J30)</f>
        <v>0</v>
      </c>
      <c r="K31" s="250">
        <f>SUM(K29:K30)</f>
        <v>0</v>
      </c>
      <c r="L31" s="250">
        <f>SUM(L29:L30)</f>
        <v>0</v>
      </c>
      <c r="M31" s="435"/>
      <c r="N31" s="405"/>
      <c r="O31" s="402">
        <f>+F31+G31</f>
        <v>50000</v>
      </c>
      <c r="P31" s="398"/>
      <c r="Q31" s="398"/>
      <c r="R31" s="399"/>
      <c r="S31" s="400"/>
    </row>
    <row r="32" spans="1:28" s="480" customFormat="1" ht="22.5" thickBot="1" x14ac:dyDescent="0.55000000000000004">
      <c r="A32" s="238">
        <f>+A27+A31</f>
        <v>16</v>
      </c>
      <c r="B32" s="239"/>
      <c r="C32" s="239"/>
      <c r="D32" s="239"/>
      <c r="E32" s="239" t="s">
        <v>90</v>
      </c>
      <c r="F32" s="299">
        <f>F27+F31</f>
        <v>14135900</v>
      </c>
      <c r="G32" s="289">
        <f>+G27+G31</f>
        <v>0</v>
      </c>
      <c r="H32" s="289">
        <f>+H27+H31</f>
        <v>0</v>
      </c>
      <c r="I32" s="240"/>
      <c r="J32" s="240">
        <f>J27+J31</f>
        <v>0</v>
      </c>
      <c r="K32" s="240">
        <f>K27+K31</f>
        <v>0</v>
      </c>
      <c r="L32" s="240">
        <f>L27+L31</f>
        <v>0</v>
      </c>
      <c r="M32" s="436"/>
      <c r="N32" s="408"/>
      <c r="O32" s="397">
        <f>+O27+O31</f>
        <v>14135900</v>
      </c>
      <c r="P32" s="479"/>
      <c r="Q32" s="479"/>
      <c r="R32" s="399"/>
      <c r="S32" s="399"/>
      <c r="T32" s="12"/>
      <c r="U32" s="12"/>
      <c r="V32" s="12"/>
      <c r="W32" s="12"/>
      <c r="X32" s="12"/>
      <c r="Y32" s="12"/>
      <c r="Z32" s="12"/>
      <c r="AA32" s="12"/>
      <c r="AB32" s="12"/>
    </row>
    <row r="33" spans="1:47" s="16" customFormat="1" x14ac:dyDescent="0.2">
      <c r="A33" s="481"/>
      <c r="B33" s="481"/>
      <c r="C33" s="481"/>
      <c r="D33" s="481"/>
      <c r="E33" s="482"/>
      <c r="F33" s="376"/>
      <c r="G33" s="375"/>
      <c r="H33" s="375"/>
      <c r="I33" s="375"/>
      <c r="J33" s="375"/>
      <c r="K33" s="376"/>
      <c r="L33" s="376"/>
      <c r="M33" s="437"/>
      <c r="N33" s="407"/>
      <c r="O33" s="400"/>
      <c r="P33" s="400"/>
      <c r="Q33" s="400"/>
      <c r="R33" s="400"/>
      <c r="S33" s="400"/>
    </row>
    <row r="34" spans="1:47" s="16" customFormat="1" x14ac:dyDescent="0.5">
      <c r="A34" s="481"/>
      <c r="B34" s="481"/>
      <c r="C34" s="481"/>
      <c r="D34" s="481"/>
      <c r="E34" s="482"/>
      <c r="F34" s="252"/>
      <c r="G34" s="375"/>
      <c r="H34" s="375"/>
      <c r="I34" s="375"/>
      <c r="J34" s="375"/>
      <c r="K34" s="376"/>
      <c r="L34" s="376"/>
      <c r="M34" s="437"/>
      <c r="N34" s="407"/>
      <c r="O34" s="400"/>
      <c r="P34" s="400"/>
      <c r="Q34" s="400"/>
      <c r="R34" s="400"/>
      <c r="S34" s="400"/>
    </row>
    <row r="36" spans="1:47" s="77" customFormat="1" x14ac:dyDescent="0.5">
      <c r="A36" s="483"/>
      <c r="B36" s="483"/>
      <c r="C36" s="483"/>
      <c r="D36" s="483"/>
      <c r="F36" s="262"/>
      <c r="G36" s="119"/>
      <c r="H36" s="119"/>
      <c r="I36" s="119"/>
      <c r="J36" s="119"/>
      <c r="K36" s="484"/>
      <c r="L36" s="484"/>
      <c r="M36" s="439"/>
      <c r="N36" s="465"/>
      <c r="O36" s="399"/>
      <c r="P36" s="399"/>
      <c r="Q36" s="399"/>
      <c r="R36" s="399"/>
      <c r="S36" s="399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</row>
    <row r="37" spans="1:47" s="77" customFormat="1" x14ac:dyDescent="0.5">
      <c r="A37" s="483"/>
      <c r="B37" s="483"/>
      <c r="C37" s="483"/>
      <c r="D37" s="483"/>
      <c r="F37" s="262"/>
      <c r="G37" s="119"/>
      <c r="H37" s="119"/>
      <c r="I37" s="119"/>
      <c r="J37" s="119"/>
      <c r="K37" s="484"/>
      <c r="L37" s="484"/>
      <c r="M37" s="439"/>
      <c r="N37" s="465"/>
      <c r="O37" s="399"/>
      <c r="P37" s="399"/>
      <c r="Q37" s="399"/>
      <c r="R37" s="399"/>
      <c r="S37" s="399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  <c r="AU37" s="485"/>
    </row>
    <row r="38" spans="1:47" s="77" customFormat="1" x14ac:dyDescent="0.5">
      <c r="A38" s="483"/>
      <c r="B38" s="483"/>
      <c r="C38" s="483"/>
      <c r="D38" s="483"/>
      <c r="F38" s="262"/>
      <c r="G38" s="119"/>
      <c r="H38" s="119"/>
      <c r="I38" s="119"/>
      <c r="J38" s="119"/>
      <c r="K38" s="484"/>
      <c r="L38" s="484"/>
      <c r="M38" s="439"/>
      <c r="N38" s="465"/>
      <c r="O38" s="399"/>
      <c r="P38" s="399"/>
      <c r="Q38" s="399"/>
      <c r="R38" s="399"/>
      <c r="S38" s="399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  <c r="AU38" s="485"/>
    </row>
    <row r="39" spans="1:47" s="77" customFormat="1" x14ac:dyDescent="0.5">
      <c r="A39" s="483"/>
      <c r="B39" s="483"/>
      <c r="C39" s="483"/>
      <c r="D39" s="483"/>
      <c r="F39" s="262"/>
      <c r="G39" s="119"/>
      <c r="H39" s="119"/>
      <c r="I39" s="119"/>
      <c r="J39" s="119"/>
      <c r="K39" s="484"/>
      <c r="L39" s="484"/>
      <c r="M39" s="439"/>
      <c r="N39" s="465"/>
      <c r="O39" s="399"/>
      <c r="P39" s="399"/>
      <c r="Q39" s="399"/>
      <c r="R39" s="399"/>
      <c r="S39" s="399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  <c r="AU39" s="485"/>
    </row>
  </sheetData>
  <autoFilter ref="N1:N39"/>
  <mergeCells count="20">
    <mergeCell ref="A1:M1"/>
    <mergeCell ref="A2:M2"/>
    <mergeCell ref="A3:M3"/>
    <mergeCell ref="A5:A8"/>
    <mergeCell ref="B5:B8"/>
    <mergeCell ref="D5:D8"/>
    <mergeCell ref="K5:K8"/>
    <mergeCell ref="L5:L8"/>
    <mergeCell ref="F5:H5"/>
    <mergeCell ref="C5:C8"/>
    <mergeCell ref="G6:G8"/>
    <mergeCell ref="E5:E8"/>
    <mergeCell ref="I5:I8"/>
    <mergeCell ref="H6:H8"/>
    <mergeCell ref="P5:P8"/>
    <mergeCell ref="Q5:Q8"/>
    <mergeCell ref="F4:G4"/>
    <mergeCell ref="F6:F8"/>
    <mergeCell ref="J5:J8"/>
    <mergeCell ref="M5:M8"/>
  </mergeCells>
  <phoneticPr fontId="2" type="noConversion"/>
  <conditionalFormatting sqref="F11:F22">
    <cfRule type="cellIs" dxfId="126" priority="3" stopIfTrue="1" operator="between">
      <formula>2000001</formula>
      <formula>500000000</formula>
    </cfRule>
  </conditionalFormatting>
  <conditionalFormatting sqref="F23:F25">
    <cfRule type="cellIs" dxfId="125" priority="2" stopIfTrue="1" operator="between">
      <formula>2000001</formula>
      <formula>500000000</formula>
    </cfRule>
  </conditionalFormatting>
  <conditionalFormatting sqref="F29">
    <cfRule type="cellIs" dxfId="124" priority="1" stopIfTrue="1" operator="between">
      <formula>2000001</formula>
      <formula>500000000</formula>
    </cfRule>
  </conditionalFormatting>
  <pageMargins left="0.62992125984251968" right="0.35433070866141736" top="0.35433070866141736" bottom="0.55118110236220474" header="0.23622047244094491" footer="0.39370078740157483"/>
  <pageSetup paperSize="9" scale="80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0"/>
  <sheetViews>
    <sheetView topLeftCell="A13" zoomScaleNormal="100" zoomScaleSheetLayoutView="100" workbookViewId="0">
      <selection activeCell="A21" sqref="A2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6.5703125" style="460" customWidth="1"/>
    <col min="6" max="6" width="14.5703125" style="487" customWidth="1"/>
    <col min="7" max="7" width="15.42578125" style="488" customWidth="1"/>
    <col min="8" max="8" width="15.42578125" style="488" hidden="1" customWidth="1"/>
    <col min="9" max="9" width="31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2.140625" style="488" customWidth="1"/>
    <col min="14" max="14" width="4.5703125" style="465" customWidth="1"/>
    <col min="15" max="15" width="19.5703125" style="399" bestFit="1" customWidth="1"/>
    <col min="16" max="16" width="8.140625" style="399" customWidth="1"/>
    <col min="17" max="17" width="14.5703125" style="399" bestFit="1" customWidth="1"/>
    <col min="18" max="18" width="7.85546875" style="399" customWidth="1"/>
    <col min="19" max="19" width="14.5703125" style="399" bestFit="1" customWidth="1"/>
    <col min="20" max="28" width="9.140625" style="12"/>
    <col min="29" max="16384" width="9.140625" style="460"/>
  </cols>
  <sheetData>
    <row r="1" spans="1:39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3</v>
      </c>
      <c r="Q2" s="397">
        <f>+F11+F12+F13</f>
        <v>2795000</v>
      </c>
      <c r="R2" s="397" t="s">
        <v>70</v>
      </c>
      <c r="S2" s="399" t="s">
        <v>70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 t="s">
        <v>70</v>
      </c>
      <c r="Q3" s="462" t="s">
        <v>70</v>
      </c>
      <c r="R3" s="463">
        <v>25</v>
      </c>
      <c r="S3" s="462" t="e">
        <f>SUM(#REF!)</f>
        <v>#REF!</v>
      </c>
      <c r="T3" s="460"/>
      <c r="U3" s="460"/>
      <c r="V3" s="460"/>
      <c r="W3" s="460"/>
      <c r="X3" s="460"/>
      <c r="Y3" s="460"/>
      <c r="Z3" s="460"/>
      <c r="AA3" s="460"/>
      <c r="AB3" s="460"/>
    </row>
    <row r="4" spans="1:39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466" t="s">
        <v>70</v>
      </c>
      <c r="S4" s="399" t="s">
        <v>70</v>
      </c>
    </row>
    <row r="5" spans="1:39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  <c r="R5" s="467"/>
    </row>
    <row r="6" spans="1:39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  <c r="R6" s="467"/>
    </row>
    <row r="7" spans="1:39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  <c r="R7" s="467"/>
    </row>
    <row r="8" spans="1:39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  <c r="R8" s="467"/>
    </row>
    <row r="9" spans="1:39" x14ac:dyDescent="0.5">
      <c r="A9" s="10"/>
      <c r="B9" s="10"/>
      <c r="C9" s="10"/>
      <c r="D9" s="10"/>
      <c r="E9" s="29" t="s">
        <v>7</v>
      </c>
      <c r="F9" s="247"/>
      <c r="G9" s="100"/>
      <c r="H9" s="100"/>
      <c r="I9" s="100"/>
      <c r="J9" s="100"/>
      <c r="K9" s="468"/>
      <c r="L9" s="468"/>
      <c r="M9" s="100"/>
    </row>
    <row r="10" spans="1:39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9" s="16" customFormat="1" ht="45" x14ac:dyDescent="0.2">
      <c r="A11" s="261">
        <v>1</v>
      </c>
      <c r="B11" s="261" t="s">
        <v>665</v>
      </c>
      <c r="C11" s="475" t="s">
        <v>80</v>
      </c>
      <c r="D11" s="261" t="s">
        <v>665</v>
      </c>
      <c r="E11" s="473" t="s">
        <v>91</v>
      </c>
      <c r="F11" s="281">
        <v>1794000</v>
      </c>
      <c r="G11" s="31"/>
      <c r="H11" s="31"/>
      <c r="I11" s="281" t="str">
        <f>+[2]ภ.1!I11</f>
        <v>อยู่ระหว่างประกาศประกวดราคา</v>
      </c>
      <c r="J11" s="31"/>
      <c r="K11" s="15"/>
      <c r="L11" s="15"/>
      <c r="M11" s="497" t="str">
        <f>+[2]ภ.1!M11</f>
        <v>ได้ผู้รับจ้างแล้ว อยู่ระหว่างรอลงนามในสัญญา</v>
      </c>
      <c r="N11" s="407">
        <v>1</v>
      </c>
      <c r="O11" s="400"/>
      <c r="P11" s="400"/>
      <c r="Q11" s="400"/>
      <c r="R11" s="400"/>
      <c r="S11" s="400"/>
    </row>
    <row r="12" spans="1:39" s="16" customFormat="1" ht="45" x14ac:dyDescent="0.2">
      <c r="A12" s="261">
        <v>2</v>
      </c>
      <c r="B12" s="261" t="s">
        <v>665</v>
      </c>
      <c r="C12" s="475" t="s">
        <v>80</v>
      </c>
      <c r="D12" s="261" t="s">
        <v>665</v>
      </c>
      <c r="E12" s="473" t="s">
        <v>92</v>
      </c>
      <c r="F12" s="281">
        <v>105000</v>
      </c>
      <c r="G12" s="31"/>
      <c r="H12" s="31"/>
      <c r="I12" s="281" t="str">
        <f>+[2]ภ.1!I12</f>
        <v>อยู่ระหว่างประกาศประกวดราคา</v>
      </c>
      <c r="J12" s="31"/>
      <c r="K12" s="15"/>
      <c r="L12" s="15"/>
      <c r="M12" s="497" t="str">
        <f>+[2]ภ.1!M12</f>
        <v>ได้ผู้รับจ้างแล้ว อยู่ระหว่างรอลงนามในสัญญา</v>
      </c>
      <c r="N12" s="407">
        <v>1</v>
      </c>
      <c r="O12" s="400"/>
      <c r="P12" s="400"/>
      <c r="Q12" s="400"/>
      <c r="R12" s="400"/>
      <c r="S12" s="400"/>
    </row>
    <row r="13" spans="1:39" s="16" customFormat="1" ht="45" x14ac:dyDescent="0.2">
      <c r="A13" s="261">
        <v>3</v>
      </c>
      <c r="B13" s="261" t="s">
        <v>665</v>
      </c>
      <c r="C13" s="475" t="s">
        <v>80</v>
      </c>
      <c r="D13" s="261" t="s">
        <v>665</v>
      </c>
      <c r="E13" s="473" t="s">
        <v>93</v>
      </c>
      <c r="F13" s="474">
        <v>896000</v>
      </c>
      <c r="G13" s="31"/>
      <c r="H13" s="31"/>
      <c r="I13" s="281" t="str">
        <f>+[2]ภ.1!I13</f>
        <v>อยู่ระหว่างประกาศประกวดราคา</v>
      </c>
      <c r="J13" s="31"/>
      <c r="K13" s="15"/>
      <c r="L13" s="15"/>
      <c r="M13" s="497" t="str">
        <f>+[2]ภ.1!M13</f>
        <v>ได้ผู้รับจ้างแล้ว อยู่ระหว่างรอลงนามในสัญญา</v>
      </c>
      <c r="N13" s="407">
        <v>1</v>
      </c>
      <c r="O13" s="400"/>
      <c r="P13" s="400"/>
      <c r="Q13" s="400"/>
      <c r="R13" s="400"/>
      <c r="S13" s="400"/>
    </row>
    <row r="14" spans="1:39" s="16" customFormat="1" ht="105" x14ac:dyDescent="0.2">
      <c r="A14" s="261">
        <v>4</v>
      </c>
      <c r="B14" s="261" t="s">
        <v>7</v>
      </c>
      <c r="C14" s="475" t="s">
        <v>238</v>
      </c>
      <c r="D14" s="261" t="s">
        <v>7</v>
      </c>
      <c r="E14" s="473" t="s">
        <v>661</v>
      </c>
      <c r="F14" s="474">
        <v>49500</v>
      </c>
      <c r="G14" s="31"/>
      <c r="H14" s="31"/>
      <c r="I14" s="31">
        <f>+[2]ภ.1!I14</f>
        <v>0</v>
      </c>
      <c r="J14" s="31"/>
      <c r="K14" s="15"/>
      <c r="L14" s="15"/>
      <c r="M14" s="497">
        <f>+[2]ภ.1!M14</f>
        <v>0</v>
      </c>
      <c r="N14" s="407"/>
      <c r="O14" s="400"/>
      <c r="P14" s="400"/>
      <c r="Q14" s="400"/>
      <c r="R14" s="400"/>
      <c r="S14" s="400"/>
    </row>
    <row r="15" spans="1:39" s="16" customFormat="1" ht="105" x14ac:dyDescent="0.2">
      <c r="A15" s="261">
        <v>5</v>
      </c>
      <c r="B15" s="261" t="s">
        <v>7</v>
      </c>
      <c r="C15" s="475" t="s">
        <v>238</v>
      </c>
      <c r="D15" s="261" t="s">
        <v>7</v>
      </c>
      <c r="E15" s="473" t="s">
        <v>662</v>
      </c>
      <c r="F15" s="474">
        <v>183600</v>
      </c>
      <c r="G15" s="31"/>
      <c r="H15" s="31"/>
      <c r="I15" s="31">
        <f>+[2]ภ.1!I15</f>
        <v>0</v>
      </c>
      <c r="J15" s="31"/>
      <c r="K15" s="15"/>
      <c r="L15" s="15"/>
      <c r="M15" s="497">
        <f>+[2]ภ.1!M15</f>
        <v>0</v>
      </c>
      <c r="N15" s="407"/>
      <c r="O15" s="400"/>
      <c r="P15" s="400"/>
      <c r="Q15" s="400"/>
      <c r="R15" s="400"/>
      <c r="S15" s="400"/>
    </row>
    <row r="16" spans="1:39" s="16" customFormat="1" ht="105" x14ac:dyDescent="0.2">
      <c r="A16" s="261">
        <v>6</v>
      </c>
      <c r="B16" s="261" t="s">
        <v>7</v>
      </c>
      <c r="C16" s="475" t="s">
        <v>238</v>
      </c>
      <c r="D16" s="261" t="s">
        <v>7</v>
      </c>
      <c r="E16" s="473" t="s">
        <v>663</v>
      </c>
      <c r="F16" s="474">
        <v>207000</v>
      </c>
      <c r="G16" s="31"/>
      <c r="H16" s="31"/>
      <c r="I16" s="31">
        <f>+[2]ภ.1!I16</f>
        <v>0</v>
      </c>
      <c r="J16" s="31"/>
      <c r="K16" s="15"/>
      <c r="L16" s="15"/>
      <c r="M16" s="497">
        <f>+[2]ภ.1!M16</f>
        <v>0</v>
      </c>
      <c r="N16" s="407"/>
      <c r="O16" s="400"/>
      <c r="P16" s="400"/>
      <c r="Q16" s="400"/>
      <c r="R16" s="400"/>
      <c r="S16" s="400"/>
    </row>
    <row r="17" spans="1:47" s="16" customFormat="1" x14ac:dyDescent="0.2">
      <c r="A17" s="14"/>
      <c r="B17" s="476"/>
      <c r="C17" s="476"/>
      <c r="D17" s="476"/>
      <c r="E17" s="493"/>
      <c r="F17" s="478"/>
      <c r="G17" s="31"/>
      <c r="H17" s="31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47" s="12" customFormat="1" x14ac:dyDescent="0.5">
      <c r="A18" s="232">
        <f>+A16</f>
        <v>6</v>
      </c>
      <c r="B18" s="232"/>
      <c r="C18" s="232"/>
      <c r="D18" s="232"/>
      <c r="E18" s="233" t="s">
        <v>58</v>
      </c>
      <c r="F18" s="297">
        <f>SUM(F11:F17)</f>
        <v>3235100</v>
      </c>
      <c r="G18" s="249">
        <f>SUM(G17:G17)</f>
        <v>0</v>
      </c>
      <c r="H18" s="249">
        <f>SUM(H17:H17)</f>
        <v>0</v>
      </c>
      <c r="I18" s="249"/>
      <c r="J18" s="249">
        <f>SUM(J17:J17)</f>
        <v>0</v>
      </c>
      <c r="K18" s="249">
        <f>SUM(K17:K17)</f>
        <v>0</v>
      </c>
      <c r="L18" s="249">
        <f>SUM(L17:L17)</f>
        <v>0</v>
      </c>
      <c r="M18" s="249"/>
      <c r="N18" s="406"/>
      <c r="O18" s="397">
        <f>+F18+G18</f>
        <v>3235100</v>
      </c>
      <c r="P18" s="398"/>
      <c r="Q18" s="398"/>
      <c r="R18" s="399"/>
      <c r="S18" s="399"/>
    </row>
    <row r="19" spans="1:47" s="16" customFormat="1" x14ac:dyDescent="0.2">
      <c r="A19" s="14"/>
      <c r="B19" s="14"/>
      <c r="C19" s="14"/>
      <c r="D19" s="14"/>
      <c r="E19" s="27" t="s">
        <v>59</v>
      </c>
      <c r="F19" s="304"/>
      <c r="G19" s="31"/>
      <c r="H19" s="31"/>
      <c r="I19" s="31"/>
      <c r="J19" s="31"/>
      <c r="K19" s="15"/>
      <c r="L19" s="15"/>
      <c r="M19" s="31"/>
      <c r="N19" s="407"/>
      <c r="O19" s="400"/>
      <c r="P19" s="400"/>
      <c r="Q19" s="400"/>
      <c r="R19" s="400"/>
      <c r="S19" s="400"/>
    </row>
    <row r="20" spans="1:47" s="16" customFormat="1" ht="105" x14ac:dyDescent="0.2">
      <c r="A20" s="261">
        <v>1</v>
      </c>
      <c r="B20" s="261" t="s">
        <v>7</v>
      </c>
      <c r="C20" s="475" t="s">
        <v>660</v>
      </c>
      <c r="D20" s="261" t="s">
        <v>7</v>
      </c>
      <c r="E20" s="473" t="s">
        <v>664</v>
      </c>
      <c r="F20" s="500">
        <v>450000</v>
      </c>
      <c r="G20" s="31"/>
      <c r="H20" s="31"/>
      <c r="I20" s="499">
        <f>+[2]ภ.1!I20</f>
        <v>0</v>
      </c>
      <c r="J20" s="31"/>
      <c r="K20" s="15"/>
      <c r="L20" s="15"/>
      <c r="M20" s="499">
        <f>+[2]ภ.1!M20</f>
        <v>0</v>
      </c>
      <c r="N20" s="407"/>
      <c r="O20" s="400"/>
      <c r="P20" s="400"/>
      <c r="Q20" s="400"/>
      <c r="R20" s="400"/>
      <c r="S20" s="400"/>
    </row>
    <row r="21" spans="1:47" s="16" customFormat="1" x14ac:dyDescent="0.2">
      <c r="A21" s="14"/>
      <c r="B21" s="14"/>
      <c r="C21" s="14"/>
      <c r="D21" s="14"/>
      <c r="E21" s="477"/>
      <c r="F21" s="496"/>
      <c r="G21" s="31"/>
      <c r="H21" s="31"/>
      <c r="I21" s="31"/>
      <c r="J21" s="31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47" s="16" customFormat="1" ht="22.5" thickBot="1" x14ac:dyDescent="0.55000000000000004">
      <c r="A22" s="235">
        <f>+A20</f>
        <v>1</v>
      </c>
      <c r="B22" s="235"/>
      <c r="C22" s="235"/>
      <c r="D22" s="235"/>
      <c r="E22" s="236" t="s">
        <v>60</v>
      </c>
      <c r="F22" s="298">
        <f>SUM(F20:F21)</f>
        <v>450000</v>
      </c>
      <c r="G22" s="237">
        <f>SUM(G20:G21)</f>
        <v>0</v>
      </c>
      <c r="H22" s="237">
        <f>SUM(H20:H21)</f>
        <v>0</v>
      </c>
      <c r="I22" s="250"/>
      <c r="J22" s="250">
        <f>SUM(J20:J21)</f>
        <v>0</v>
      </c>
      <c r="K22" s="250">
        <f>SUM(K20:K21)</f>
        <v>0</v>
      </c>
      <c r="L22" s="250">
        <f>SUM(L20:L21)</f>
        <v>0</v>
      </c>
      <c r="M22" s="250"/>
      <c r="N22" s="405"/>
      <c r="O22" s="402">
        <f>+F22+G22</f>
        <v>450000</v>
      </c>
      <c r="P22" s="398"/>
      <c r="Q22" s="398"/>
      <c r="R22" s="399"/>
      <c r="S22" s="400"/>
    </row>
    <row r="23" spans="1:47" s="480" customFormat="1" ht="22.5" thickBot="1" x14ac:dyDescent="0.55000000000000004">
      <c r="A23" s="238">
        <f>+A18+A22</f>
        <v>7</v>
      </c>
      <c r="B23" s="239"/>
      <c r="C23" s="239"/>
      <c r="D23" s="239"/>
      <c r="E23" s="239" t="s">
        <v>94</v>
      </c>
      <c r="F23" s="299">
        <f>F18+F22</f>
        <v>3685100</v>
      </c>
      <c r="G23" s="289">
        <f>+G18+G22</f>
        <v>0</v>
      </c>
      <c r="H23" s="289">
        <f>+H18+H22</f>
        <v>0</v>
      </c>
      <c r="I23" s="240"/>
      <c r="J23" s="240">
        <f>J18+J22</f>
        <v>0</v>
      </c>
      <c r="K23" s="240">
        <f>K18+K22</f>
        <v>0</v>
      </c>
      <c r="L23" s="240">
        <f>L18+L22</f>
        <v>0</v>
      </c>
      <c r="M23" s="240"/>
      <c r="N23" s="408"/>
      <c r="O23" s="397">
        <f>+O18+O22</f>
        <v>3685100</v>
      </c>
      <c r="P23" s="479"/>
      <c r="Q23" s="479"/>
      <c r="R23" s="399"/>
      <c r="S23" s="399"/>
      <c r="T23" s="12"/>
      <c r="U23" s="12"/>
      <c r="V23" s="12"/>
      <c r="W23" s="12"/>
      <c r="X23" s="12"/>
      <c r="Y23" s="12"/>
      <c r="Z23" s="12"/>
      <c r="AA23" s="12"/>
      <c r="AB23" s="12"/>
    </row>
    <row r="24" spans="1:47" s="16" customFormat="1" x14ac:dyDescent="0.2">
      <c r="A24" s="481"/>
      <c r="B24" s="481"/>
      <c r="C24" s="481"/>
      <c r="D24" s="481"/>
      <c r="E24" s="482"/>
      <c r="F24" s="376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5" spans="1:47" s="16" customFormat="1" x14ac:dyDescent="0.5">
      <c r="A25" s="481"/>
      <c r="B25" s="481"/>
      <c r="C25" s="481"/>
      <c r="D25" s="481"/>
      <c r="E25" s="482"/>
      <c r="F25" s="252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7" spans="1:47" s="77" customFormat="1" ht="22.5" thickBot="1" x14ac:dyDescent="0.55000000000000004">
      <c r="A27" s="483"/>
      <c r="B27" s="483"/>
      <c r="C27" s="483"/>
      <c r="D27" s="483"/>
      <c r="E27" s="77" t="s">
        <v>64</v>
      </c>
      <c r="F27" s="253"/>
      <c r="G27" s="22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  <c r="AU27" s="485"/>
    </row>
    <row r="28" spans="1:47" s="77" customFormat="1" ht="22.5" thickTop="1" x14ac:dyDescent="0.5">
      <c r="A28" s="483"/>
      <c r="B28" s="483"/>
      <c r="C28" s="483"/>
      <c r="D28" s="483"/>
      <c r="E28" s="77" t="s">
        <v>65</v>
      </c>
      <c r="F28" s="262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</row>
    <row r="29" spans="1:47" s="77" customFormat="1" x14ac:dyDescent="0.5">
      <c r="A29" s="483"/>
      <c r="B29" s="483"/>
      <c r="C29" s="483"/>
      <c r="D29" s="483"/>
      <c r="E29" s="77" t="s">
        <v>66</v>
      </c>
      <c r="F29" s="262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</row>
    <row r="30" spans="1:47" s="77" customFormat="1" x14ac:dyDescent="0.5">
      <c r="A30" s="483"/>
      <c r="B30" s="483"/>
      <c r="C30" s="483"/>
      <c r="D30" s="483"/>
      <c r="E30" s="77" t="s">
        <v>67</v>
      </c>
      <c r="F30" s="262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  <c r="AU30" s="485"/>
    </row>
  </sheetData>
  <autoFilter ref="N1:N30"/>
  <mergeCells count="20">
    <mergeCell ref="Q5:Q8"/>
    <mergeCell ref="K5:K8"/>
    <mergeCell ref="L5:L8"/>
    <mergeCell ref="F5:H5"/>
    <mergeCell ref="H6:H8"/>
    <mergeCell ref="G6:G8"/>
    <mergeCell ref="P5:P8"/>
    <mergeCell ref="J5:J8"/>
    <mergeCell ref="F6:F8"/>
    <mergeCell ref="I5:I8"/>
    <mergeCell ref="B5:B8"/>
    <mergeCell ref="D5:D8"/>
    <mergeCell ref="M5:M8"/>
    <mergeCell ref="A1:M1"/>
    <mergeCell ref="A2:M2"/>
    <mergeCell ref="A3:M3"/>
    <mergeCell ref="F4:G4"/>
    <mergeCell ref="A5:A8"/>
    <mergeCell ref="E5:E8"/>
    <mergeCell ref="C5:C8"/>
  </mergeCells>
  <phoneticPr fontId="2" type="noConversion"/>
  <conditionalFormatting sqref="F11:F13">
    <cfRule type="cellIs" dxfId="123" priority="3" stopIfTrue="1" operator="between">
      <formula>2000001</formula>
      <formula>500000000</formula>
    </cfRule>
  </conditionalFormatting>
  <conditionalFormatting sqref="F14:F16">
    <cfRule type="cellIs" dxfId="122" priority="2" stopIfTrue="1" operator="between">
      <formula>2000001</formula>
      <formula>500000000</formula>
    </cfRule>
  </conditionalFormatting>
  <conditionalFormatting sqref="F20">
    <cfRule type="cellIs" dxfId="121" priority="1" stopIfTrue="1" operator="between">
      <formula>2000001</formula>
      <formula>500000000</formula>
    </cfRule>
  </conditionalFormatting>
  <pageMargins left="0.43307086614173229" right="0.19685039370078741" top="0.43307086614173229" bottom="0.35433070866141736" header="0.27559055118110237" footer="0.15748031496062992"/>
  <pageSetup paperSize="9" scale="8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7"/>
  <sheetViews>
    <sheetView zoomScaleNormal="100" zoomScaleSheetLayoutView="100" workbookViewId="0">
      <selection activeCell="A28" sqref="A28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4.140625" style="460" customWidth="1"/>
    <col min="6" max="6" width="15.140625" style="487" customWidth="1"/>
    <col min="7" max="7" width="15.42578125" style="488" customWidth="1"/>
    <col min="8" max="8" width="15.42578125" style="488" hidden="1" customWidth="1"/>
    <col min="9" max="9" width="36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6.140625" style="488" customWidth="1"/>
    <col min="14" max="14" width="5.140625" style="465" customWidth="1"/>
    <col min="15" max="15" width="19.5703125" style="399" bestFit="1" customWidth="1"/>
    <col min="16" max="16" width="13.85546875" style="399" bestFit="1" customWidth="1"/>
    <col min="17" max="17" width="12.42578125" style="399" bestFit="1" customWidth="1"/>
    <col min="18" max="18" width="9.140625" style="399"/>
    <col min="19" max="19" width="14.5703125" style="399" bestFit="1" customWidth="1"/>
    <col min="20" max="28" width="9.140625" style="12"/>
    <col min="29" max="16384" width="9.140625" style="460"/>
  </cols>
  <sheetData>
    <row r="1" spans="1:39" x14ac:dyDescent="0.5">
      <c r="A1" s="656" t="s">
        <v>43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11"/>
      <c r="Q1" s="399" t="s">
        <v>68</v>
      </c>
      <c r="S1" s="399" t="s">
        <v>63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6" t="s">
        <v>44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411"/>
      <c r="O2" s="402" t="s">
        <v>69</v>
      </c>
      <c r="P2" s="399">
        <v>8</v>
      </c>
      <c r="Q2" s="397">
        <f>+F11+F12+F13+F14+F15+F16+F17+F18</f>
        <v>3245200</v>
      </c>
      <c r="R2" s="397" t="s">
        <v>70</v>
      </c>
      <c r="S2" s="399" t="s">
        <v>70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6" t="s">
        <v>71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411"/>
      <c r="O3" s="400" t="s">
        <v>72</v>
      </c>
      <c r="P3" s="461" t="s">
        <v>70</v>
      </c>
      <c r="Q3" s="462"/>
      <c r="R3" s="463">
        <v>18</v>
      </c>
      <c r="S3" s="462">
        <f>SUM(F25:F26)</f>
        <v>10109000</v>
      </c>
      <c r="T3" s="460"/>
      <c r="U3" s="460"/>
      <c r="V3" s="460"/>
      <c r="W3" s="460"/>
      <c r="X3" s="460"/>
      <c r="Y3" s="460"/>
      <c r="Z3" s="460"/>
      <c r="AA3" s="460"/>
      <c r="AB3" s="460"/>
    </row>
    <row r="4" spans="1:39" ht="21.75" customHeight="1" x14ac:dyDescent="0.5">
      <c r="A4" s="460"/>
      <c r="B4" s="460"/>
      <c r="C4" s="460"/>
      <c r="D4" s="460"/>
      <c r="F4" s="663"/>
      <c r="G4" s="663"/>
      <c r="H4" s="252"/>
      <c r="I4" s="252"/>
      <c r="J4" s="252"/>
      <c r="M4" s="252"/>
      <c r="P4" s="466" t="s">
        <v>70</v>
      </c>
      <c r="Q4" s="466" t="s">
        <v>70</v>
      </c>
      <c r="R4" s="466" t="s">
        <v>70</v>
      </c>
      <c r="S4" s="399" t="s">
        <v>70</v>
      </c>
    </row>
    <row r="5" spans="1:39" ht="21.75" customHeight="1" x14ac:dyDescent="0.5">
      <c r="A5" s="646" t="s">
        <v>0</v>
      </c>
      <c r="B5" s="646" t="s">
        <v>46</v>
      </c>
      <c r="C5" s="646" t="s">
        <v>47</v>
      </c>
      <c r="D5" s="646" t="s">
        <v>48</v>
      </c>
      <c r="E5" s="646" t="s">
        <v>4</v>
      </c>
      <c r="F5" s="648" t="s">
        <v>49</v>
      </c>
      <c r="G5" s="649"/>
      <c r="H5" s="650"/>
      <c r="I5" s="643" t="s">
        <v>74</v>
      </c>
      <c r="J5" s="643" t="s">
        <v>50</v>
      </c>
      <c r="K5" s="643" t="s">
        <v>51</v>
      </c>
      <c r="L5" s="657" t="s">
        <v>52</v>
      </c>
      <c r="M5" s="651" t="s">
        <v>75</v>
      </c>
      <c r="N5" s="405"/>
      <c r="P5" s="642" t="s">
        <v>53</v>
      </c>
      <c r="Q5" s="642" t="s">
        <v>54</v>
      </c>
      <c r="R5" s="467"/>
    </row>
    <row r="6" spans="1:39" ht="21" customHeight="1" x14ac:dyDescent="0.5">
      <c r="A6" s="647"/>
      <c r="B6" s="647"/>
      <c r="C6" s="647"/>
      <c r="D6" s="647"/>
      <c r="E6" s="647"/>
      <c r="F6" s="659" t="s">
        <v>55</v>
      </c>
      <c r="G6" s="644" t="s">
        <v>56</v>
      </c>
      <c r="H6" s="643" t="s">
        <v>54</v>
      </c>
      <c r="I6" s="644"/>
      <c r="J6" s="644"/>
      <c r="K6" s="644"/>
      <c r="L6" s="658"/>
      <c r="M6" s="652"/>
      <c r="N6" s="405"/>
      <c r="P6" s="642"/>
      <c r="Q6" s="642"/>
      <c r="R6" s="467"/>
    </row>
    <row r="7" spans="1:39" ht="21" customHeight="1" x14ac:dyDescent="0.5">
      <c r="A7" s="647"/>
      <c r="B7" s="647"/>
      <c r="C7" s="647"/>
      <c r="D7" s="647"/>
      <c r="E7" s="647"/>
      <c r="F7" s="659"/>
      <c r="G7" s="644"/>
      <c r="H7" s="644"/>
      <c r="I7" s="644"/>
      <c r="J7" s="644"/>
      <c r="K7" s="644"/>
      <c r="L7" s="658"/>
      <c r="M7" s="652"/>
      <c r="N7" s="405"/>
      <c r="P7" s="642"/>
      <c r="Q7" s="642"/>
      <c r="R7" s="467"/>
    </row>
    <row r="8" spans="1:39" ht="18" customHeight="1" x14ac:dyDescent="0.5">
      <c r="A8" s="647"/>
      <c r="B8" s="647"/>
      <c r="C8" s="661"/>
      <c r="D8" s="647"/>
      <c r="E8" s="647"/>
      <c r="F8" s="660"/>
      <c r="G8" s="645"/>
      <c r="H8" s="645"/>
      <c r="I8" s="645"/>
      <c r="J8" s="645"/>
      <c r="K8" s="645"/>
      <c r="L8" s="658"/>
      <c r="M8" s="653"/>
      <c r="N8" s="405"/>
      <c r="P8" s="642"/>
      <c r="Q8" s="642"/>
      <c r="R8" s="467"/>
    </row>
    <row r="9" spans="1:39" x14ac:dyDescent="0.5">
      <c r="A9" s="10"/>
      <c r="B9" s="10"/>
      <c r="C9" s="10"/>
      <c r="D9" s="10"/>
      <c r="E9" s="29" t="s">
        <v>8</v>
      </c>
      <c r="F9" s="247"/>
      <c r="G9" s="100"/>
      <c r="H9" s="100"/>
      <c r="I9" s="100"/>
      <c r="J9" s="100"/>
      <c r="K9" s="468"/>
      <c r="L9" s="468"/>
      <c r="M9" s="100"/>
    </row>
    <row r="10" spans="1:39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9" s="16" customFormat="1" ht="108.75" x14ac:dyDescent="0.2">
      <c r="A11" s="261">
        <v>1</v>
      </c>
      <c r="B11" s="261"/>
      <c r="C11" s="475" t="s">
        <v>80</v>
      </c>
      <c r="D11" s="261" t="s">
        <v>8</v>
      </c>
      <c r="E11" s="473" t="s">
        <v>95</v>
      </c>
      <c r="F11" s="281">
        <v>1311000</v>
      </c>
      <c r="G11" s="281"/>
      <c r="H11" s="281"/>
      <c r="I11" s="281" t="str">
        <f>+[3]Sheet1!I11</f>
        <v> อยู่ระหว่างประกาศร่าง TOR ครั้งที่ 1
สิ้นสุดวันที่ 5 พ.ย.58 </v>
      </c>
      <c r="J11" s="281" t="str">
        <f>+[3]Sheet1!$I$11</f>
        <v> อยู่ระหว่างประกาศร่าง TOR ครั้งที่ 1
สิ้นสุดวันที่ 5 พ.ย.58 </v>
      </c>
      <c r="K11" s="281" t="str">
        <f>+[3]Sheet1!$I$11</f>
        <v> อยู่ระหว่างประกาศร่าง TOR ครั้งที่ 1
สิ้นสุดวันที่ 5 พ.ย.58 </v>
      </c>
      <c r="L11" s="281" t="str">
        <f>+[3]Sheet1!$I$11</f>
        <v> อยู่ระหว่างประกาศร่าง TOR ครั้งที่ 1
สิ้นสุดวันที่ 5 พ.ย.58 </v>
      </c>
      <c r="M11" s="281" t="str">
        <f>+[3]Sheet1!M11</f>
        <v>  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</c>
      <c r="N11" s="407">
        <v>1</v>
      </c>
      <c r="O11" s="400"/>
      <c r="P11" s="400"/>
      <c r="Q11" s="400"/>
      <c r="R11" s="400"/>
      <c r="S11" s="400"/>
    </row>
    <row r="12" spans="1:39" s="16" customFormat="1" ht="108.75" x14ac:dyDescent="0.2">
      <c r="A12" s="261">
        <v>2</v>
      </c>
      <c r="B12" s="261"/>
      <c r="C12" s="475" t="s">
        <v>80</v>
      </c>
      <c r="D12" s="261" t="s">
        <v>8</v>
      </c>
      <c r="E12" s="473" t="s">
        <v>96</v>
      </c>
      <c r="F12" s="281">
        <v>300000</v>
      </c>
      <c r="G12" s="281"/>
      <c r="H12" s="281"/>
      <c r="I12" s="281" t="str">
        <f>+[3]Sheet1!I12</f>
        <v> อยู่ระหว่างประกาศร่าง TOR ครั้งที่ 1
สิ้นสุดวันที่ 5 พ.ย.58 </v>
      </c>
      <c r="J12" s="281" t="str">
        <f>+[3]Sheet1!$I$11</f>
        <v> อยู่ระหว่างประกาศร่าง TOR ครั้งที่ 1
สิ้นสุดวันที่ 5 พ.ย.58 </v>
      </c>
      <c r="K12" s="281" t="str">
        <f>+[3]Sheet1!$I$11</f>
        <v> อยู่ระหว่างประกาศร่าง TOR ครั้งที่ 1
สิ้นสุดวันที่ 5 พ.ย.58 </v>
      </c>
      <c r="L12" s="281" t="str">
        <f>+[3]Sheet1!$I$11</f>
        <v> อยู่ระหว่างประกาศร่าง TOR ครั้งที่ 1
สิ้นสุดวันที่ 5 พ.ย.58 </v>
      </c>
      <c r="M12" s="281" t="str">
        <f>+[3]Sheet1!M12</f>
        <v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</c>
      <c r="N12" s="407">
        <v>1</v>
      </c>
      <c r="O12" s="400"/>
      <c r="P12" s="400"/>
      <c r="Q12" s="400"/>
      <c r="R12" s="400"/>
      <c r="S12" s="400"/>
    </row>
    <row r="13" spans="1:39" s="16" customFormat="1" ht="108.75" x14ac:dyDescent="0.2">
      <c r="A13" s="261">
        <v>3</v>
      </c>
      <c r="B13" s="261"/>
      <c r="C13" s="475" t="s">
        <v>80</v>
      </c>
      <c r="D13" s="261" t="s">
        <v>8</v>
      </c>
      <c r="E13" s="473" t="s">
        <v>97</v>
      </c>
      <c r="F13" s="281">
        <v>832200</v>
      </c>
      <c r="G13" s="281"/>
      <c r="H13" s="281"/>
      <c r="I13" s="281" t="str">
        <f>+[3]Sheet1!I13</f>
        <v> อยู่ระหว่างประกาศร่าง TOR ครั้งที่ 1
สิ้นสุดวันที่ 5 พ.ย.58 </v>
      </c>
      <c r="J13" s="281" t="str">
        <f>+[3]Sheet1!$I$11</f>
        <v> อยู่ระหว่างประกาศร่าง TOR ครั้งที่ 1
สิ้นสุดวันที่ 5 พ.ย.58 </v>
      </c>
      <c r="K13" s="281" t="str">
        <f>+[3]Sheet1!$I$11</f>
        <v> อยู่ระหว่างประกาศร่าง TOR ครั้งที่ 1
สิ้นสุดวันที่ 5 พ.ย.58 </v>
      </c>
      <c r="L13" s="281" t="str">
        <f>+[3]Sheet1!$I$11</f>
        <v> อยู่ระหว่างประกาศร่าง TOR ครั้งที่ 1
สิ้นสุดวันที่ 5 พ.ย.58 </v>
      </c>
      <c r="M13" s="281" t="str">
        <f>+[3]Sheet1!M13</f>
        <v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</c>
      <c r="N13" s="407">
        <v>1</v>
      </c>
      <c r="O13" s="400"/>
      <c r="P13" s="400"/>
      <c r="Q13" s="400"/>
      <c r="R13" s="400"/>
      <c r="S13" s="400"/>
    </row>
    <row r="14" spans="1:39" s="16" customFormat="1" ht="108.75" x14ac:dyDescent="0.2">
      <c r="A14" s="261">
        <v>4</v>
      </c>
      <c r="B14" s="261"/>
      <c r="C14" s="472" t="s">
        <v>98</v>
      </c>
      <c r="D14" s="261" t="s">
        <v>8</v>
      </c>
      <c r="E14" s="473" t="s">
        <v>99</v>
      </c>
      <c r="F14" s="281">
        <v>28000</v>
      </c>
      <c r="G14" s="281"/>
      <c r="H14" s="281"/>
      <c r="I14" s="281" t="str">
        <f>+[3]Sheet1!I14</f>
        <v>ตกลงราคาเรียบร้อยแล้วพร้อมส่งมอบของ
ภายในเดือน ธ.ค. สามารถเบิกจ่ายเงินได้</v>
      </c>
      <c r="J14" s="281" t="str">
        <f>+[3]Sheet1!$I$11</f>
        <v> อยู่ระหว่างประกาศร่าง TOR ครั้งที่ 1
สิ้นสุดวันที่ 5 พ.ย.58 </v>
      </c>
      <c r="K14" s="281" t="str">
        <f>+[3]Sheet1!$I$11</f>
        <v> อยู่ระหว่างประกาศร่าง TOR ครั้งที่ 1
สิ้นสุดวันที่ 5 พ.ย.58 </v>
      </c>
      <c r="L14" s="281" t="str">
        <f>+[3]Sheet1!$I$11</f>
        <v> อยู่ระหว่างประกาศร่าง TOR ครั้งที่ 1
สิ้นสุดวันที่ 5 พ.ย.58 </v>
      </c>
      <c r="M14" s="281" t="str">
        <f>+[3]Sheet1!M14</f>
        <v>  ทำสัญญาซื้อ-ขาย เมื่อวันที่ 19 พ.ย.58           กำหนดส่งมอบ 19 ธ.ค.58  </v>
      </c>
      <c r="N14" s="407">
        <v>1</v>
      </c>
      <c r="O14" s="400"/>
      <c r="P14" s="400"/>
      <c r="Q14" s="400"/>
      <c r="R14" s="400"/>
      <c r="S14" s="400"/>
    </row>
    <row r="15" spans="1:39" s="16" customFormat="1" ht="108.75" x14ac:dyDescent="0.2">
      <c r="A15" s="261">
        <v>5</v>
      </c>
      <c r="B15" s="261"/>
      <c r="C15" s="472" t="s">
        <v>98</v>
      </c>
      <c r="D15" s="261" t="s">
        <v>8</v>
      </c>
      <c r="E15" s="473" t="s">
        <v>100</v>
      </c>
      <c r="F15" s="281">
        <v>225000</v>
      </c>
      <c r="G15" s="281"/>
      <c r="H15" s="281"/>
      <c r="I15" s="281" t="str">
        <f>+[3]Sheet1!I15</f>
        <v>ตกลงราคาเรียบร้อยแล้วพร้อมส่งมอบของ
ภายในเดือน ธ.ค. สามารถเบิกจ่ายเงินได้</v>
      </c>
      <c r="J15" s="281" t="str">
        <f>+[3]Sheet1!$I$11</f>
        <v> อยู่ระหว่างประกาศร่าง TOR ครั้งที่ 1
สิ้นสุดวันที่ 5 พ.ย.58 </v>
      </c>
      <c r="K15" s="281" t="str">
        <f>+[3]Sheet1!$I$11</f>
        <v> อยู่ระหว่างประกาศร่าง TOR ครั้งที่ 1
สิ้นสุดวันที่ 5 พ.ย.58 </v>
      </c>
      <c r="L15" s="281" t="str">
        <f>+[3]Sheet1!$I$11</f>
        <v> อยู่ระหว่างประกาศร่าง TOR ครั้งที่ 1
สิ้นสุดวันที่ 5 พ.ย.58 </v>
      </c>
      <c r="M15" s="281" t="str">
        <f>+[3]Sheet1!M15</f>
        <v>ทำสัญญาซื้อ-ขาย เมื่อวันที่ 19 พ.ย.58           กำหนดส่งมอบ 19 ธ.ค.58  </v>
      </c>
      <c r="N15" s="407">
        <v>1</v>
      </c>
      <c r="O15" s="400"/>
      <c r="P15" s="400"/>
      <c r="Q15" s="400"/>
      <c r="R15" s="400"/>
      <c r="S15" s="400"/>
    </row>
    <row r="16" spans="1:39" s="16" customFormat="1" ht="108.75" x14ac:dyDescent="0.2">
      <c r="A16" s="261">
        <v>6</v>
      </c>
      <c r="B16" s="261"/>
      <c r="C16" s="472" t="s">
        <v>98</v>
      </c>
      <c r="D16" s="261" t="s">
        <v>8</v>
      </c>
      <c r="E16" s="473" t="s">
        <v>101</v>
      </c>
      <c r="F16" s="281">
        <v>84000</v>
      </c>
      <c r="G16" s="281"/>
      <c r="H16" s="281"/>
      <c r="I16" s="281" t="str">
        <f>+[3]Sheet1!I16</f>
        <v>ตกลงราคาเรียบร้อยแล้วพร้อมส่งมอบของ
ภายในเดือน ธ.ค. สามารถเบิกจ่ายเงินได้</v>
      </c>
      <c r="J16" s="281" t="str">
        <f>+[3]Sheet1!$I$11</f>
        <v> อยู่ระหว่างประกาศร่าง TOR ครั้งที่ 1
สิ้นสุดวันที่ 5 พ.ย.58 </v>
      </c>
      <c r="K16" s="281" t="str">
        <f>+[3]Sheet1!$I$11</f>
        <v> อยู่ระหว่างประกาศร่าง TOR ครั้งที่ 1
สิ้นสุดวันที่ 5 พ.ย.58 </v>
      </c>
      <c r="L16" s="281" t="str">
        <f>+[3]Sheet1!$I$11</f>
        <v> อยู่ระหว่างประกาศร่าง TOR ครั้งที่ 1
สิ้นสุดวันที่ 5 พ.ย.58 </v>
      </c>
      <c r="M16" s="281" t="str">
        <f>+[3]Sheet1!M16</f>
        <v>ทำสัญญาซื้อ-ขาย เมื่อวันที่ 19 พ.ย.58           กำหนดส่งมอบ 19 ธ.ค.58  </v>
      </c>
      <c r="N16" s="407">
        <v>1</v>
      </c>
      <c r="O16" s="400"/>
      <c r="P16" s="400"/>
      <c r="Q16" s="400"/>
      <c r="R16" s="400"/>
      <c r="S16" s="400"/>
    </row>
    <row r="17" spans="1:28" s="16" customFormat="1" ht="108.75" x14ac:dyDescent="0.2">
      <c r="A17" s="261">
        <v>7</v>
      </c>
      <c r="B17" s="261"/>
      <c r="C17" s="472" t="s">
        <v>98</v>
      </c>
      <c r="D17" s="261" t="s">
        <v>8</v>
      </c>
      <c r="E17" s="473" t="s">
        <v>102</v>
      </c>
      <c r="F17" s="281">
        <v>225000</v>
      </c>
      <c r="G17" s="281"/>
      <c r="H17" s="281"/>
      <c r="I17" s="281" t="str">
        <f>+[3]Sheet1!I17</f>
        <v>ตกลงราคาเรียบร้อยแล้วพร้อมส่งมอบของ
ภายในเดือน ธ.ค. สามารถเบิกจ่ายเงินได้</v>
      </c>
      <c r="J17" s="281" t="str">
        <f>+[3]Sheet1!$I$11</f>
        <v> อยู่ระหว่างประกาศร่าง TOR ครั้งที่ 1
สิ้นสุดวันที่ 5 พ.ย.58 </v>
      </c>
      <c r="K17" s="281" t="str">
        <f>+[3]Sheet1!$I$11</f>
        <v> อยู่ระหว่างประกาศร่าง TOR ครั้งที่ 1
สิ้นสุดวันที่ 5 พ.ย.58 </v>
      </c>
      <c r="L17" s="281" t="str">
        <f>+[3]Sheet1!$I$11</f>
        <v> อยู่ระหว่างประกาศร่าง TOR ครั้งที่ 1
สิ้นสุดวันที่ 5 พ.ย.58 </v>
      </c>
      <c r="M17" s="281" t="str">
        <f>+[3]Sheet1!M17</f>
        <v>ทำสัญญาซื้อ-ขาย เมื่อวันที่ 19 พ.ย.58           กำหนดส่งมอบ 19 ธ.ค.58  </v>
      </c>
      <c r="N17" s="407">
        <v>1</v>
      </c>
      <c r="O17" s="400"/>
      <c r="P17" s="400"/>
      <c r="Q17" s="400"/>
      <c r="R17" s="400"/>
      <c r="S17" s="400"/>
    </row>
    <row r="18" spans="1:28" s="16" customFormat="1" ht="108.75" x14ac:dyDescent="0.2">
      <c r="A18" s="261">
        <v>8</v>
      </c>
      <c r="B18" s="261"/>
      <c r="C18" s="472" t="s">
        <v>98</v>
      </c>
      <c r="D18" s="261" t="s">
        <v>8</v>
      </c>
      <c r="E18" s="473" t="s">
        <v>103</v>
      </c>
      <c r="F18" s="281">
        <v>240000</v>
      </c>
      <c r="G18" s="281"/>
      <c r="H18" s="281"/>
      <c r="I18" s="281" t="str">
        <f>+[3]Sheet1!I18</f>
        <v>ตกลงราคาเรียบร้อยแล้วพร้อมส่งมอบของ
ภายในเดือน ธ.ค. สามารถเบิกจ่ายเงินได้</v>
      </c>
      <c r="J18" s="281" t="str">
        <f>+[3]Sheet1!$I$11</f>
        <v> อยู่ระหว่างประกาศร่าง TOR ครั้งที่ 1
สิ้นสุดวันที่ 5 พ.ย.58 </v>
      </c>
      <c r="K18" s="281" t="str">
        <f>+[3]Sheet1!$I$11</f>
        <v> อยู่ระหว่างประกาศร่าง TOR ครั้งที่ 1
สิ้นสุดวันที่ 5 พ.ย.58 </v>
      </c>
      <c r="L18" s="281" t="str">
        <f>+[3]Sheet1!$I$11</f>
        <v> อยู่ระหว่างประกาศร่าง TOR ครั้งที่ 1
สิ้นสุดวันที่ 5 พ.ย.58 </v>
      </c>
      <c r="M18" s="281" t="str">
        <f>+[3]Sheet1!M18</f>
        <v>ทำสัญญาซื้อ-ขาย เมื่อวันที่ 19 พ.ย.58           กำหนดส่งมอบ 19 ธ.ค.58  </v>
      </c>
      <c r="N18" s="407">
        <v>1</v>
      </c>
      <c r="O18" s="400"/>
      <c r="P18" s="400"/>
      <c r="Q18" s="400"/>
      <c r="R18" s="400"/>
      <c r="S18" s="400"/>
    </row>
    <row r="19" spans="1:28" s="16" customFormat="1" ht="108.75" x14ac:dyDescent="0.2">
      <c r="A19" s="261">
        <v>9</v>
      </c>
      <c r="B19" s="261" t="s">
        <v>8</v>
      </c>
      <c r="C19" s="475" t="s">
        <v>238</v>
      </c>
      <c r="D19" s="261" t="s">
        <v>8</v>
      </c>
      <c r="E19" s="473" t="s">
        <v>661</v>
      </c>
      <c r="F19" s="281">
        <v>44000</v>
      </c>
      <c r="G19" s="281"/>
      <c r="H19" s="281"/>
      <c r="I19" s="281">
        <f>+[3]Sheet1!I19</f>
        <v>0</v>
      </c>
      <c r="J19" s="281" t="str">
        <f>+[3]Sheet1!$I$11</f>
        <v> อยู่ระหว่างประกาศร่าง TOR ครั้งที่ 1
สิ้นสุดวันที่ 5 พ.ย.58 </v>
      </c>
      <c r="K19" s="281" t="str">
        <f>+[3]Sheet1!$I$11</f>
        <v> อยู่ระหว่างประกาศร่าง TOR ครั้งที่ 1
สิ้นสุดวันที่ 5 พ.ย.58 </v>
      </c>
      <c r="L19" s="281" t="str">
        <f>+[3]Sheet1!$I$11</f>
        <v> อยู่ระหว่างประกาศร่าง TOR ครั้งที่ 1
สิ้นสุดวันที่ 5 พ.ย.58 </v>
      </c>
      <c r="M19" s="281">
        <f>+[3]Sheet1!M19</f>
        <v>0</v>
      </c>
      <c r="N19" s="407"/>
      <c r="O19" s="400"/>
      <c r="P19" s="400"/>
      <c r="Q19" s="400"/>
      <c r="R19" s="400"/>
      <c r="S19" s="400"/>
    </row>
    <row r="20" spans="1:28" s="16" customFormat="1" ht="108.75" x14ac:dyDescent="0.2">
      <c r="A20" s="261">
        <v>10</v>
      </c>
      <c r="B20" s="261" t="s">
        <v>8</v>
      </c>
      <c r="C20" s="475" t="s">
        <v>238</v>
      </c>
      <c r="D20" s="261" t="s">
        <v>8</v>
      </c>
      <c r="E20" s="473" t="s">
        <v>662</v>
      </c>
      <c r="F20" s="281">
        <v>163200</v>
      </c>
      <c r="G20" s="281"/>
      <c r="H20" s="281"/>
      <c r="I20" s="281">
        <f>+[3]Sheet1!I20</f>
        <v>0</v>
      </c>
      <c r="J20" s="281" t="str">
        <f>+[3]Sheet1!$I$11</f>
        <v> อยู่ระหว่างประกาศร่าง TOR ครั้งที่ 1
สิ้นสุดวันที่ 5 พ.ย.58 </v>
      </c>
      <c r="K20" s="281" t="str">
        <f>+[3]Sheet1!$I$11</f>
        <v> อยู่ระหว่างประกาศร่าง TOR ครั้งที่ 1
สิ้นสุดวันที่ 5 พ.ย.58 </v>
      </c>
      <c r="L20" s="281" t="str">
        <f>+[3]Sheet1!$I$11</f>
        <v> อยู่ระหว่างประกาศร่าง TOR ครั้งที่ 1
สิ้นสุดวันที่ 5 พ.ย.58 </v>
      </c>
      <c r="M20" s="281">
        <f>+[3]Sheet1!M20</f>
        <v>0</v>
      </c>
      <c r="N20" s="407"/>
      <c r="O20" s="400"/>
      <c r="P20" s="400"/>
      <c r="Q20" s="400"/>
      <c r="R20" s="400"/>
      <c r="S20" s="400"/>
    </row>
    <row r="21" spans="1:28" s="16" customFormat="1" ht="108.75" x14ac:dyDescent="0.2">
      <c r="A21" s="261">
        <v>11</v>
      </c>
      <c r="B21" s="261" t="s">
        <v>8</v>
      </c>
      <c r="C21" s="475" t="s">
        <v>238</v>
      </c>
      <c r="D21" s="261" t="s">
        <v>8</v>
      </c>
      <c r="E21" s="473" t="s">
        <v>663</v>
      </c>
      <c r="F21" s="281">
        <v>184000</v>
      </c>
      <c r="G21" s="281"/>
      <c r="H21" s="281"/>
      <c r="I21" s="281">
        <f>+[3]Sheet1!I21</f>
        <v>0</v>
      </c>
      <c r="J21" s="281" t="str">
        <f>+[3]Sheet1!$I$11</f>
        <v> อยู่ระหว่างประกาศร่าง TOR ครั้งที่ 1
สิ้นสุดวันที่ 5 พ.ย.58 </v>
      </c>
      <c r="K21" s="281" t="str">
        <f>+[3]Sheet1!$I$11</f>
        <v> อยู่ระหว่างประกาศร่าง TOR ครั้งที่ 1
สิ้นสุดวันที่ 5 พ.ย.58 </v>
      </c>
      <c r="L21" s="281" t="str">
        <f>+[3]Sheet1!$I$11</f>
        <v> อยู่ระหว่างประกาศร่าง TOR ครั้งที่ 1
สิ้นสุดวันที่ 5 พ.ย.58 </v>
      </c>
      <c r="M21" s="281">
        <f>+[3]Sheet1!M21</f>
        <v>0</v>
      </c>
      <c r="N21" s="407"/>
      <c r="O21" s="400"/>
      <c r="P21" s="400"/>
      <c r="Q21" s="400"/>
      <c r="R21" s="400"/>
      <c r="S21" s="400"/>
    </row>
    <row r="22" spans="1:28" s="16" customFormat="1" x14ac:dyDescent="0.2">
      <c r="A22" s="14"/>
      <c r="B22" s="476"/>
      <c r="C22" s="476"/>
      <c r="D22" s="476"/>
      <c r="E22" s="493"/>
      <c r="F22" s="497"/>
      <c r="G22" s="31"/>
      <c r="H22" s="31"/>
      <c r="I22" s="31"/>
      <c r="J22" s="31"/>
      <c r="K22" s="15"/>
      <c r="L22" s="15"/>
      <c r="M22" s="31"/>
      <c r="N22" s="407"/>
      <c r="O22" s="400"/>
      <c r="P22" s="400"/>
      <c r="Q22" s="400"/>
      <c r="R22" s="400"/>
      <c r="S22" s="400"/>
    </row>
    <row r="23" spans="1:28" s="12" customFormat="1" x14ac:dyDescent="0.5">
      <c r="A23" s="232">
        <f>+A18</f>
        <v>8</v>
      </c>
      <c r="B23" s="232"/>
      <c r="C23" s="232"/>
      <c r="D23" s="232"/>
      <c r="E23" s="233" t="s">
        <v>58</v>
      </c>
      <c r="F23" s="249">
        <f>SUM(F11:F22)</f>
        <v>3636400</v>
      </c>
      <c r="G23" s="249">
        <f>SUM(G22:G22)</f>
        <v>0</v>
      </c>
      <c r="H23" s="249">
        <f>SUM(H22:H22)</f>
        <v>0</v>
      </c>
      <c r="I23" s="249"/>
      <c r="J23" s="249">
        <f>SUM(J22:J22)</f>
        <v>0</v>
      </c>
      <c r="K23" s="249">
        <f>SUM(K22:K22)</f>
        <v>0</v>
      </c>
      <c r="L23" s="249">
        <f>SUM(L22:L22)</f>
        <v>0</v>
      </c>
      <c r="M23" s="249"/>
      <c r="N23" s="406"/>
      <c r="O23" s="397">
        <f>+F23+G23</f>
        <v>3636400</v>
      </c>
      <c r="P23" s="398"/>
      <c r="Q23" s="398"/>
      <c r="R23" s="399"/>
      <c r="S23" s="399"/>
    </row>
    <row r="24" spans="1:28" s="16" customFormat="1" x14ac:dyDescent="0.2">
      <c r="A24" s="14"/>
      <c r="B24" s="14"/>
      <c r="C24" s="14"/>
      <c r="D24" s="14"/>
      <c r="E24" s="27" t="s">
        <v>59</v>
      </c>
      <c r="F24" s="31"/>
      <c r="G24" s="31"/>
      <c r="H24" s="31"/>
      <c r="I24" s="31"/>
      <c r="J24" s="31"/>
      <c r="K24" s="15"/>
      <c r="L24" s="15"/>
      <c r="M24" s="31"/>
      <c r="N24" s="407"/>
      <c r="O24" s="400"/>
      <c r="P24" s="400"/>
      <c r="Q24" s="400"/>
      <c r="R24" s="400"/>
      <c r="S24" s="400"/>
    </row>
    <row r="25" spans="1:28" s="16" customFormat="1" ht="65.25" x14ac:dyDescent="0.2">
      <c r="A25" s="424">
        <v>1</v>
      </c>
      <c r="B25" s="424"/>
      <c r="C25" s="494" t="s">
        <v>76</v>
      </c>
      <c r="D25" s="425" t="s">
        <v>8</v>
      </c>
      <c r="E25" s="470" t="s">
        <v>104</v>
      </c>
      <c r="F25" s="426">
        <v>4109000</v>
      </c>
      <c r="G25" s="423"/>
      <c r="H25" s="423"/>
      <c r="I25" s="423" t="str">
        <f>+[3]Sheet1!I25</f>
        <v>ถอนเรื่องคืน กรณีขอเปลียนแปลงสถานที่ก่อสร้าง จาก สภ.มาบตาพุด ไปก่อสร้างที่ สภ.เขาชะเมา ( หลังที่ 2 )</v>
      </c>
      <c r="J25" s="31"/>
      <c r="K25" s="15"/>
      <c r="L25" s="15"/>
      <c r="M25" s="423" t="str">
        <f>+[3]Sheet1!M25</f>
        <v>ออกประกาศประกวดราคา 23 - 30 พ.ย.58 เสนอราคา วันที่ 4 ธ.ค.58 สามารถลงนามในสัญญาได้ ภายใน 25 ธ.ค.58</v>
      </c>
      <c r="N25" s="407">
        <v>2</v>
      </c>
      <c r="O25" s="400"/>
      <c r="P25" s="400"/>
      <c r="Q25" s="400"/>
      <c r="R25" s="400"/>
      <c r="S25" s="400"/>
    </row>
    <row r="26" spans="1:28" s="16" customFormat="1" ht="130.5" x14ac:dyDescent="0.2">
      <c r="A26" s="424">
        <v>2</v>
      </c>
      <c r="B26" s="424"/>
      <c r="C26" s="494" t="s">
        <v>76</v>
      </c>
      <c r="D26" s="425" t="s">
        <v>8</v>
      </c>
      <c r="E26" s="470" t="s">
        <v>105</v>
      </c>
      <c r="F26" s="426">
        <v>6000000</v>
      </c>
      <c r="G26" s="426"/>
      <c r="H26" s="426"/>
      <c r="I26" s="423" t="str">
        <f>+[3]Sheet1!I26</f>
        <v>อยู่ระหว่างกำหนดราคากลาง</v>
      </c>
      <c r="J26" s="31"/>
      <c r="K26" s="15"/>
      <c r="L26" s="15"/>
      <c r="M26" s="423" t="str">
        <f>+[3]Sheet1!M26</f>
        <v>ได้ดำเนินการแต่งตั้งคณะกรรมการกำหนดราคาได้ราคากลางเสร็จสิ้นเรียบร้อยแล้ว อยู่ระหว่างขออนุมัติแต่งตั้งคณะกรรมการร่าง TOR และร่างเอกสารประกวดราคา/คณะกรรมการประกวดราคาและผู้ควบคุมงานการจ้าง</v>
      </c>
      <c r="N26" s="407">
        <v>2</v>
      </c>
      <c r="O26" s="400"/>
      <c r="P26" s="400"/>
      <c r="Q26" s="400"/>
      <c r="R26" s="400"/>
      <c r="S26" s="400"/>
    </row>
    <row r="27" spans="1:28" s="16" customFormat="1" ht="105" x14ac:dyDescent="0.2">
      <c r="A27" s="14">
        <v>3</v>
      </c>
      <c r="B27" s="261" t="s">
        <v>8</v>
      </c>
      <c r="C27" s="475" t="s">
        <v>660</v>
      </c>
      <c r="D27" s="261" t="s">
        <v>8</v>
      </c>
      <c r="E27" s="473" t="s">
        <v>664</v>
      </c>
      <c r="F27" s="281">
        <v>400000</v>
      </c>
      <c r="G27" s="281"/>
      <c r="H27" s="281"/>
      <c r="I27" s="281">
        <f>+[3]Sheet1!I27</f>
        <v>0</v>
      </c>
      <c r="J27" s="281"/>
      <c r="K27" s="283"/>
      <c r="L27" s="283"/>
      <c r="M27" s="281">
        <f>+[3]Sheet1!M27</f>
        <v>0</v>
      </c>
      <c r="N27" s="407"/>
      <c r="O27" s="400"/>
      <c r="P27" s="400"/>
      <c r="Q27" s="400"/>
      <c r="R27" s="400"/>
      <c r="S27" s="400"/>
    </row>
    <row r="28" spans="1:28" s="16" customFormat="1" ht="21" customHeight="1" x14ac:dyDescent="0.2">
      <c r="A28" s="14"/>
      <c r="B28" s="14"/>
      <c r="C28" s="14"/>
      <c r="D28" s="14"/>
      <c r="E28" s="493"/>
      <c r="F28" s="501"/>
      <c r="G28" s="30"/>
      <c r="H28" s="30"/>
      <c r="I28" s="31"/>
      <c r="J28" s="31"/>
      <c r="K28" s="15"/>
      <c r="L28" s="15"/>
      <c r="M28" s="31"/>
      <c r="N28" s="407"/>
      <c r="O28" s="400"/>
      <c r="P28" s="400"/>
      <c r="Q28" s="400"/>
      <c r="R28" s="400"/>
      <c r="S28" s="400"/>
    </row>
    <row r="29" spans="1:28" s="16" customFormat="1" ht="22.5" thickBot="1" x14ac:dyDescent="0.55000000000000004">
      <c r="A29" s="235">
        <f>+A27</f>
        <v>3</v>
      </c>
      <c r="B29" s="235"/>
      <c r="C29" s="235"/>
      <c r="D29" s="235"/>
      <c r="E29" s="236" t="s">
        <v>60</v>
      </c>
      <c r="F29" s="298">
        <f>SUM(F25:F28)</f>
        <v>10509000</v>
      </c>
      <c r="G29" s="237">
        <f>SUM(G28:G28)</f>
        <v>0</v>
      </c>
      <c r="H29" s="237">
        <f>SUM(H28:H28)</f>
        <v>0</v>
      </c>
      <c r="I29" s="250"/>
      <c r="J29" s="250">
        <f>SUM(J28:J28)</f>
        <v>0</v>
      </c>
      <c r="K29" s="250">
        <f>SUM(K28:K28)</f>
        <v>0</v>
      </c>
      <c r="L29" s="250">
        <f>SUM(L28:L28)</f>
        <v>0</v>
      </c>
      <c r="M29" s="250"/>
      <c r="N29" s="502"/>
      <c r="O29" s="402">
        <f>+F29+G29</f>
        <v>10509000</v>
      </c>
      <c r="P29" s="398"/>
      <c r="Q29" s="398"/>
      <c r="R29" s="399"/>
      <c r="S29" s="400"/>
    </row>
    <row r="30" spans="1:28" s="480" customFormat="1" ht="22.5" thickBot="1" x14ac:dyDescent="0.55000000000000004">
      <c r="A30" s="238">
        <f>+A23+A29</f>
        <v>11</v>
      </c>
      <c r="B30" s="239"/>
      <c r="C30" s="239"/>
      <c r="D30" s="239"/>
      <c r="E30" s="239" t="s">
        <v>106</v>
      </c>
      <c r="F30" s="299">
        <f>F23+F29</f>
        <v>14145400</v>
      </c>
      <c r="G30" s="289">
        <f>+G23+G29</f>
        <v>0</v>
      </c>
      <c r="H30" s="289">
        <f>+H23+H29</f>
        <v>0</v>
      </c>
      <c r="I30" s="240"/>
      <c r="J30" s="240">
        <f>J23+J29</f>
        <v>0</v>
      </c>
      <c r="K30" s="240">
        <f>K23+K29</f>
        <v>0</v>
      </c>
      <c r="L30" s="240">
        <f>L23+L29</f>
        <v>0</v>
      </c>
      <c r="M30" s="240"/>
      <c r="N30" s="503"/>
      <c r="O30" s="397">
        <f>+O23+O29</f>
        <v>14145400</v>
      </c>
      <c r="P30" s="479"/>
      <c r="Q30" s="479"/>
      <c r="R30" s="399"/>
      <c r="S30" s="399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s="16" customFormat="1" x14ac:dyDescent="0.2">
      <c r="A31" s="481"/>
      <c r="B31" s="481"/>
      <c r="C31" s="481"/>
      <c r="D31" s="481"/>
      <c r="E31" s="482"/>
      <c r="F31" s="376"/>
      <c r="G31" s="375"/>
      <c r="H31" s="375"/>
      <c r="I31" s="375"/>
      <c r="J31" s="375"/>
      <c r="K31" s="376"/>
      <c r="L31" s="376"/>
      <c r="M31" s="375"/>
      <c r="N31" s="407"/>
      <c r="O31" s="400"/>
      <c r="P31" s="400"/>
      <c r="Q31" s="400"/>
      <c r="R31" s="400"/>
      <c r="S31" s="400"/>
    </row>
    <row r="32" spans="1:28" s="16" customFormat="1" x14ac:dyDescent="0.5">
      <c r="A32" s="481"/>
      <c r="B32" s="481"/>
      <c r="C32" s="481"/>
      <c r="D32" s="481"/>
      <c r="E32" s="482"/>
      <c r="F32" s="252"/>
      <c r="G32" s="375"/>
      <c r="H32" s="375"/>
      <c r="I32" s="375"/>
      <c r="J32" s="375"/>
      <c r="K32" s="376"/>
      <c r="L32" s="376"/>
      <c r="M32" s="375"/>
      <c r="N32" s="407"/>
      <c r="O32" s="400"/>
      <c r="P32" s="400"/>
      <c r="Q32" s="400"/>
      <c r="R32" s="400"/>
      <c r="S32" s="400"/>
    </row>
    <row r="34" spans="1:47" s="77" customFormat="1" x14ac:dyDescent="0.5">
      <c r="A34" s="483"/>
      <c r="B34" s="483"/>
      <c r="C34" s="483"/>
      <c r="D34" s="483"/>
      <c r="F34" s="262"/>
      <c r="G34" s="119"/>
      <c r="H34" s="119"/>
      <c r="I34" s="119"/>
      <c r="J34" s="119"/>
      <c r="K34" s="484"/>
      <c r="L34" s="484"/>
      <c r="M34" s="119"/>
      <c r="N34" s="465"/>
      <c r="O34" s="399"/>
      <c r="P34" s="399"/>
      <c r="Q34" s="399"/>
      <c r="R34" s="399"/>
      <c r="S34" s="399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  <c r="AU34" s="485"/>
    </row>
    <row r="35" spans="1:47" s="77" customFormat="1" x14ac:dyDescent="0.5">
      <c r="A35" s="483"/>
      <c r="B35" s="483"/>
      <c r="C35" s="483"/>
      <c r="D35" s="483"/>
      <c r="F35" s="262"/>
      <c r="G35" s="119"/>
      <c r="H35" s="119"/>
      <c r="I35" s="119"/>
      <c r="J35" s="119"/>
      <c r="K35" s="484"/>
      <c r="L35" s="484"/>
      <c r="M35" s="119"/>
      <c r="N35" s="465"/>
      <c r="O35" s="399"/>
      <c r="P35" s="399"/>
      <c r="Q35" s="399"/>
      <c r="R35" s="399"/>
      <c r="S35" s="399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5"/>
      <c r="AT35" s="485"/>
      <c r="AU35" s="485"/>
    </row>
    <row r="36" spans="1:47" s="77" customFormat="1" x14ac:dyDescent="0.5">
      <c r="A36" s="483"/>
      <c r="B36" s="483"/>
      <c r="C36" s="483"/>
      <c r="D36" s="483"/>
      <c r="F36" s="262"/>
      <c r="G36" s="119"/>
      <c r="H36" s="119"/>
      <c r="I36" s="119"/>
      <c r="J36" s="119"/>
      <c r="K36" s="484"/>
      <c r="L36" s="484"/>
      <c r="M36" s="119"/>
      <c r="N36" s="465"/>
      <c r="O36" s="399"/>
      <c r="P36" s="399"/>
      <c r="Q36" s="399"/>
      <c r="R36" s="399"/>
      <c r="S36" s="399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</row>
    <row r="37" spans="1:47" s="77" customFormat="1" x14ac:dyDescent="0.5">
      <c r="A37" s="483"/>
      <c r="B37" s="483"/>
      <c r="C37" s="483"/>
      <c r="D37" s="483"/>
      <c r="F37" s="262"/>
      <c r="G37" s="119"/>
      <c r="H37" s="119"/>
      <c r="I37" s="119"/>
      <c r="J37" s="119"/>
      <c r="K37" s="484"/>
      <c r="L37" s="484"/>
      <c r="M37" s="119"/>
      <c r="N37" s="465"/>
      <c r="O37" s="399"/>
      <c r="P37" s="399"/>
      <c r="Q37" s="399"/>
      <c r="R37" s="399"/>
      <c r="S37" s="399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  <c r="AU37" s="485"/>
    </row>
  </sheetData>
  <autoFilter ref="N1:N37"/>
  <mergeCells count="20">
    <mergeCell ref="Q5:Q8"/>
    <mergeCell ref="B5:B8"/>
    <mergeCell ref="D5:D8"/>
    <mergeCell ref="G6:G8"/>
    <mergeCell ref="F6:F8"/>
    <mergeCell ref="E5:E8"/>
    <mergeCell ref="P5:P8"/>
    <mergeCell ref="M5:M8"/>
    <mergeCell ref="F5:H5"/>
    <mergeCell ref="H6:H8"/>
    <mergeCell ref="C5:C8"/>
    <mergeCell ref="I5:I8"/>
    <mergeCell ref="K5:K8"/>
    <mergeCell ref="L5:L8"/>
    <mergeCell ref="J5:J8"/>
    <mergeCell ref="A1:M1"/>
    <mergeCell ref="A2:M2"/>
    <mergeCell ref="A3:M3"/>
    <mergeCell ref="F4:G4"/>
    <mergeCell ref="A5:A8"/>
  </mergeCells>
  <phoneticPr fontId="2" type="noConversion"/>
  <conditionalFormatting sqref="F11:F18 F26">
    <cfRule type="cellIs" dxfId="120" priority="4" stopIfTrue="1" operator="between">
      <formula>2000001</formula>
      <formula>500000000</formula>
    </cfRule>
  </conditionalFormatting>
  <conditionalFormatting sqref="F25">
    <cfRule type="cellIs" dxfId="119" priority="3" stopIfTrue="1" operator="between">
      <formula>2000001</formula>
      <formula>500000000</formula>
    </cfRule>
  </conditionalFormatting>
  <conditionalFormatting sqref="F19:F21">
    <cfRule type="cellIs" dxfId="118" priority="2" stopIfTrue="1" operator="between">
      <formula>2000001</formula>
      <formula>500000000</formula>
    </cfRule>
  </conditionalFormatting>
  <conditionalFormatting sqref="F27">
    <cfRule type="cellIs" dxfId="117" priority="1" stopIfTrue="1" operator="between">
      <formula>2000001</formula>
      <formula>500000000</formula>
    </cfRule>
  </conditionalFormatting>
  <pageMargins left="0.35433070866141736" right="0.27559055118110237" top="0.59055118110236227" bottom="0.59055118110236227" header="0.31496062992125984" footer="0.51181102362204722"/>
  <pageSetup paperSize="9" scale="8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51</vt:i4>
      </vt:variant>
      <vt:variant>
        <vt:lpstr>ช่วงที่มีชื่อ</vt:lpstr>
      </vt:variant>
      <vt:variant>
        <vt:i4>52</vt:i4>
      </vt:variant>
    </vt:vector>
  </HeadingPairs>
  <TitlesOfParts>
    <vt:vector size="103" baseType="lpstr">
      <vt:lpstr>ภ.5 (อื่น) </vt:lpstr>
      <vt:lpstr>ศชต.(อื่น)</vt:lpstr>
      <vt:lpstr>สตม.(อื่น)</vt:lpstr>
      <vt:lpstr>สทส.(อื่น)</vt:lpstr>
      <vt:lpstr>สกบ.(อื่น)</vt:lpstr>
      <vt:lpstr>สรุป PO</vt:lpstr>
      <vt:lpstr>บช.น.</vt:lpstr>
      <vt:lpstr>ภ.1</vt:lpstr>
      <vt:lpstr>ภ.2</vt:lpstr>
      <vt:lpstr>ภ.3</vt:lpstr>
      <vt:lpstr>ภ.4</vt:lpstr>
      <vt:lpstr>ภ.5</vt:lpstr>
      <vt:lpstr>ภ.6</vt:lpstr>
      <vt:lpstr>ภ.7</vt:lpstr>
      <vt:lpstr>ภ.8</vt:lpstr>
      <vt:lpstr>ภ.9</vt:lpstr>
      <vt:lpstr>ศชต.</vt:lpstr>
      <vt:lpstr>บช.ก.</vt:lpstr>
      <vt:lpstr>รน.</vt:lpstr>
      <vt:lpstr>บช.ปส.</vt:lpstr>
      <vt:lpstr>บช.ส.</vt:lpstr>
      <vt:lpstr>สตม.</vt:lpstr>
      <vt:lpstr>บช.ตชด.</vt:lpstr>
      <vt:lpstr>สง.นรป.</vt:lpstr>
      <vt:lpstr>สพฐ.ตร.</vt:lpstr>
      <vt:lpstr>สทส.</vt:lpstr>
      <vt:lpstr>บช.ศ.</vt:lpstr>
      <vt:lpstr>รร.นรต.</vt:lpstr>
      <vt:lpstr>รพ.ตร.</vt:lpstr>
      <vt:lpstr>สยศ.ตร.</vt:lpstr>
      <vt:lpstr>สกบ.</vt:lpstr>
      <vt:lpstr>สกพ.</vt:lpstr>
      <vt:lpstr>สงป.</vt:lpstr>
      <vt:lpstr>กมค.</vt:lpstr>
      <vt:lpstr>สง.ก.ตร.</vt:lpstr>
      <vt:lpstr>จต.</vt:lpstr>
      <vt:lpstr>สตส.</vt:lpstr>
      <vt:lpstr>สลก.ตร.</vt:lpstr>
      <vt:lpstr>ตท.</vt:lpstr>
      <vt:lpstr>สท.</vt:lpstr>
      <vt:lpstr>สง.ก.ต.ช.</vt:lpstr>
      <vt:lpstr>บ.ตร.</vt:lpstr>
      <vt:lpstr>วน.</vt:lpstr>
      <vt:lpstr>สรุป</vt:lpstr>
      <vt:lpstr>Sheet2</vt:lpstr>
      <vt:lpstr>Sheet3</vt:lpstr>
      <vt:lpstr>Units</vt:lpstr>
      <vt:lpstr>Sheet5</vt:lpstr>
      <vt:lpstr>จัดลำดับ</vt:lpstr>
      <vt:lpstr>Sheet4</vt:lpstr>
      <vt:lpstr>Sheet1</vt:lpstr>
      <vt:lpstr>ตท.!Print_Area</vt:lpstr>
      <vt:lpstr>บช.ก.!Print_Area</vt:lpstr>
      <vt:lpstr>ภ.1!Print_Area</vt:lpstr>
      <vt:lpstr>ภ.2!Print_Area</vt:lpstr>
      <vt:lpstr>ภ.3!Print_Area</vt:lpstr>
      <vt:lpstr>ภ.9!Print_Area</vt:lpstr>
      <vt:lpstr>ศชต.!Print_Area</vt:lpstr>
      <vt:lpstr>สกพ.!Print_Area</vt:lpstr>
      <vt:lpstr>สง.ก.ต.ช.!Print_Area</vt:lpstr>
      <vt:lpstr>สง.ก.ตร.!Print_Area</vt:lpstr>
      <vt:lpstr>สง.นรป.!Print_Area</vt:lpstr>
      <vt:lpstr>สตม.!Print_Area</vt:lpstr>
      <vt:lpstr>สตส.!Print_Area</vt:lpstr>
      <vt:lpstr>สลก.ตร.!Print_Area</vt:lpstr>
      <vt:lpstr>Sheet2!Print_Titles</vt:lpstr>
      <vt:lpstr>Sheet3!Print_Titles</vt:lpstr>
      <vt:lpstr>Sheet4!Print_Titles</vt:lpstr>
      <vt:lpstr>Units!Print_Titles</vt:lpstr>
      <vt:lpstr>กมค.!Print_Titles</vt:lpstr>
      <vt:lpstr>จต.!Print_Titles</vt:lpstr>
      <vt:lpstr>ตท.!Print_Titles</vt:lpstr>
      <vt:lpstr>บ.ตร.!Print_Titles</vt:lpstr>
      <vt:lpstr>บช.ก.!Print_Titles</vt:lpstr>
      <vt:lpstr>บช.ตชด.!Print_Titles</vt:lpstr>
      <vt:lpstr>บช.น.!Print_Titles</vt:lpstr>
      <vt:lpstr>บช.ปส.!Print_Titles</vt:lpstr>
      <vt:lpstr>บช.ศ.!Print_Titles</vt:lpstr>
      <vt:lpstr>บช.ส.!Print_Titles</vt:lpstr>
      <vt:lpstr>ภ.1!Print_Titles</vt:lpstr>
      <vt:lpstr>ภ.2!Print_Titles</vt:lpstr>
      <vt:lpstr>ภ.3!Print_Titles</vt:lpstr>
      <vt:lpstr>ภ.4!Print_Titles</vt:lpstr>
      <vt:lpstr>ภ.5!Print_Titles</vt:lpstr>
      <vt:lpstr>'ภ.5 (อื่น) '!Print_Titles</vt:lpstr>
      <vt:lpstr>ภ.6!Print_Titles</vt:lpstr>
      <vt:lpstr>ภ.7!Print_Titles</vt:lpstr>
      <vt:lpstr>ภ.8!Print_Titles</vt:lpstr>
      <vt:lpstr>ภ.9!Print_Titles</vt:lpstr>
      <vt:lpstr>รพ.ตร.!Print_Titles</vt:lpstr>
      <vt:lpstr>รร.นรต.!Print_Titles</vt:lpstr>
      <vt:lpstr>ศชต.!Print_Titles</vt:lpstr>
      <vt:lpstr>สกบ.!Print_Titles</vt:lpstr>
      <vt:lpstr>สกพ.!Print_Titles</vt:lpstr>
      <vt:lpstr>สง.ก.ตร.!Print_Titles</vt:lpstr>
      <vt:lpstr>สงป.!Print_Titles</vt:lpstr>
      <vt:lpstr>สตม.!Print_Titles</vt:lpstr>
      <vt:lpstr>สตส.!Print_Titles</vt:lpstr>
      <vt:lpstr>สท.!Print_Titles</vt:lpstr>
      <vt:lpstr>สทส.!Print_Titles</vt:lpstr>
      <vt:lpstr>สพฐ.ตร.!Print_Titles</vt:lpstr>
      <vt:lpstr>สยศ.ตร.!Print_Titles</vt:lpstr>
      <vt:lpstr>สลก.ตร.!Print_Titles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iLLuSioN</dc:creator>
  <cp:keywords/>
  <dc:description/>
  <cp:lastModifiedBy>HP</cp:lastModifiedBy>
  <cp:revision/>
  <cp:lastPrinted>2015-12-03T06:59:20Z</cp:lastPrinted>
  <dcterms:created xsi:type="dcterms:W3CDTF">2005-03-31T08:22:04Z</dcterms:created>
  <dcterms:modified xsi:type="dcterms:W3CDTF">2015-12-23T05:02:16Z</dcterms:modified>
</cp:coreProperties>
</file>